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65" windowHeight="5265" activeTab="3"/>
  </bookViews>
  <sheets>
    <sheet name="ГРАФІК" sheetId="1" r:id="rId1"/>
    <sheet name="ЗМІСТ" sheetId="2" r:id="rId2"/>
    <sheet name="1 курс 2022-2023" sheetId="3" r:id="rId3"/>
    <sheet name="3 частина" sheetId="4" r:id="rId4"/>
    <sheet name="Перевірка" sheetId="5" r:id="rId5"/>
    <sheet name="Лист1" sheetId="6" r:id="rId6"/>
  </sheets>
  <externalReferences>
    <externalReference r:id="rId9"/>
  </externalReferences>
  <definedNames>
    <definedName name="Z_791DB74A_D72A_4A24_8E5B_5C9CCB5308F6_.wvu.PrintArea" localSheetId="1" hidden="1">'ЗМІСТ'!$A$1:$AB$92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'ЗМІСТ'!$A$1:$AB$93</definedName>
    <definedName name="_xlnm.Print_Area" localSheetId="5">'Лист1'!$A$1:$R$58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<sst xmlns="http://schemas.openxmlformats.org/spreadsheetml/2006/main" count="397" uniqueCount="280">
  <si>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</si>
  <si>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</si>
  <si>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</si>
  <si>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</si>
  <si>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</si>
  <si>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</si>
  <si>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</si>
  <si>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</si>
  <si>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</si>
  <si>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</si>
  <si>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</si>
  <si>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</si>
  <si>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</si>
  <si>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</si>
  <si>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</si>
  <si>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</si>
  <si>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</si>
  <si>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</si>
  <si>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</si>
  <si>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</si>
  <si>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</si>
  <si>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</si>
  <si>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</si>
  <si>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</si>
  <si>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</si>
  <si>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</si>
  <si>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</si>
  <si>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</si>
  <si>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</si>
  <si>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</si>
  <si>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</si>
  <si>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</si>
  <si>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</si>
  <si>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</si>
  <si>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</si>
  <si>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</si>
  <si>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</si>
  <si>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</si>
  <si>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</si>
  <si>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</si>
  <si>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</si>
  <si>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</si>
  <si>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</si>
  <si>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</si>
  <si>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</si>
  <si>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</si>
  <si>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</si>
  <si>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</si>
  <si>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</si>
  <si>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</si>
  <si>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</si>
  <si>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</si>
  <si>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</si>
  <si>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</si>
  <si>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</si>
  <si>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</si>
  <si>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</si>
  <si>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</si>
  <si>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</si>
  <si>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</si>
  <si>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</si>
  <si>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</si>
  <si>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</si>
  <si>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</si>
  <si>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</si>
  <si>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</si>
  <si>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</si>
  <si>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</si>
  <si>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</si>
  <si>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</si>
  <si>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</si>
  <si>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</si>
  <si>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</si>
  <si>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</si>
  <si>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ІІІ. План теоретичних занять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</si>
  <si>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</si>
  <si>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</si>
  <si>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</si>
  <si>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</si>
  <si>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</si>
  <si>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</si>
  <si>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</si>
  <si>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</si>
  <si>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</si>
  <si>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</si>
  <si>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</si>
  <si>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</si>
  <si>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</si>
  <si>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</si>
  <si>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</si>
  <si>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</si>
  <si>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</si>
  <si>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</si>
  <si>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</si>
  <si>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</si>
  <si>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</si>
  <si>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</si>
  <si>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</si>
  <si>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</si>
  <si>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</si>
  <si>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</si>
  <si>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</si>
  <si>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</si>
  <si>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</si>
  <si>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</si>
  <si>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</si>
  <si>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</si>
  <si>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014 Середня освіта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</si>
  <si>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</si>
  <si>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</si>
  <si>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</si>
  <si>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</si>
  <si>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</si>
  <si>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</si>
  <si>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</si>
  <si>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</si>
  <si>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</si>
  <si>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</si>
  <si>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</si>
  <si>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</si>
  <si>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</si>
  <si>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</si>
  <si>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</si>
  <si>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</si>
  <si>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</si>
  <si>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</si>
  <si>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</si>
  <si>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Всього за цикл 2.1.</t>
  </si>
  <si>
    <t>2.2. НАВЧАЛЬНІ ДИСЦИПЛІНИ СПЕЦІАЛЬНОЇ (ФАХОВОЇ) ПІДГОТОВКИ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</si>
  <si>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</si>
  <si>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</si>
  <si>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</si>
  <si>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</si>
  <si>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</si>
  <si>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</si>
  <si>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</si>
  <si>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Вибіркова дисципліна 2.1.</t>
  </si>
  <si>
    <t>Вибіркова дисципліна 2.2.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</si>
  <si>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</si>
  <si>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</si>
  <si>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</si>
  <si>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</si>
  <si>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</si>
  <si>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Вибіркова дисципліна 2.3.</t>
  </si>
  <si>
    <t>Вибіркова дисципліна 2.5.</t>
  </si>
  <si>
    <t>ІV. Практична підготовка</t>
  </si>
  <si>
    <t>Кількість тижнів аудиторних занять у семестрі</t>
  </si>
  <si>
    <t>Перевірка на кількість освітніх компонентів в семестрі</t>
  </si>
  <si>
    <t>Університетські студії</t>
  </si>
  <si>
    <t>Історія та культура України</t>
  </si>
  <si>
    <t>Філософія</t>
  </si>
  <si>
    <t>Психологія (загальна та вікова)</t>
  </si>
  <si>
    <t>Педагогіка (загальна та історія педагогіки)</t>
  </si>
  <si>
    <t>Інклюзивна освіта</t>
  </si>
  <si>
    <t>Методика навчання математики</t>
  </si>
  <si>
    <t>Методика навчання фізики</t>
  </si>
  <si>
    <t>Виробнича практика</t>
  </si>
  <si>
    <t>Керівник проєктної групи</t>
  </si>
  <si>
    <t>Предметна спеціальність 
(спеціалізація)</t>
  </si>
  <si>
    <t>ОК 01</t>
  </si>
  <si>
    <t>ОК 02</t>
  </si>
  <si>
    <t>ОК 03</t>
  </si>
  <si>
    <t>ОК 04</t>
  </si>
  <si>
    <t>ОК 05</t>
  </si>
  <si>
    <t>ОК 06</t>
  </si>
  <si>
    <t>ОК 07</t>
  </si>
  <si>
    <t>ОК 08</t>
  </si>
  <si>
    <t>ОК 09</t>
  </si>
  <si>
    <t>ОК 10</t>
  </si>
  <si>
    <t>ОК 11</t>
  </si>
  <si>
    <t>ОК 12</t>
  </si>
  <si>
    <t>ОК 13</t>
  </si>
  <si>
    <t>ОК 14</t>
  </si>
  <si>
    <t>ОК 15</t>
  </si>
  <si>
    <t>ОК 16</t>
  </si>
  <si>
    <t>ОК 17</t>
  </si>
  <si>
    <t>ОК 18</t>
  </si>
  <si>
    <t>ОК 19</t>
  </si>
  <si>
    <t>ОК 20</t>
  </si>
  <si>
    <t>ОК 21</t>
  </si>
  <si>
    <t>ОК 22</t>
  </si>
  <si>
    <t>ОК 23</t>
  </si>
  <si>
    <t>ОК 24</t>
  </si>
  <si>
    <t>ОК 25</t>
  </si>
  <si>
    <t>ОК 26</t>
  </si>
  <si>
    <t>ОК 27</t>
  </si>
  <si>
    <t>ОК 28</t>
  </si>
  <si>
    <t>ОК 30</t>
  </si>
  <si>
    <t>ОК 31</t>
  </si>
  <si>
    <t>ОК 32</t>
  </si>
  <si>
    <t>ВБ 1.1</t>
  </si>
  <si>
    <t>ВБ 1.2</t>
  </si>
  <si>
    <t>ВБ 1.3</t>
  </si>
  <si>
    <t>ВБ 1.4</t>
  </si>
  <si>
    <t>ВБ 1.5</t>
  </si>
  <si>
    <t>ВБ 1.6</t>
  </si>
  <si>
    <t>ВБ 2.1</t>
  </si>
  <si>
    <t>ВБ 2.2</t>
  </si>
  <si>
    <t>ВБ 2.3</t>
  </si>
  <si>
    <t>ВБ 2.4</t>
  </si>
  <si>
    <t>ВБ 2.5</t>
  </si>
  <si>
    <t>ВБ 2.6</t>
  </si>
  <si>
    <t>Загальна фізика (атомна і ядерна фізика)</t>
  </si>
  <si>
    <t>ОК 29</t>
  </si>
  <si>
    <t>Загальна фізика (електрика, магнетизм)</t>
  </si>
  <si>
    <t>Загальна фізика (оптика)</t>
  </si>
  <si>
    <t>Українська мова за професійним спрямуванням</t>
  </si>
  <si>
    <t>Оздоровчі технології</t>
  </si>
  <si>
    <t>ОК 33</t>
  </si>
  <si>
    <t>1.5. ПІДСУМКОВА АТЕСТАЦІЯ</t>
  </si>
  <si>
    <t>Всього за цикл 1.5.</t>
  </si>
  <si>
    <t>Загальна фізика (молекулярна фізика)</t>
  </si>
  <si>
    <t>Загальна фізика (механіка)</t>
  </si>
  <si>
    <t>Інноваційні методики навчання</t>
  </si>
  <si>
    <t>Математичний аналіз</t>
  </si>
  <si>
    <t>Курсова робота з фізики або математики</t>
  </si>
  <si>
    <t>Курсова робота з методики навчання</t>
  </si>
  <si>
    <t>№ з/п</t>
  </si>
  <si>
    <t>Освітні компоненти</t>
  </si>
  <si>
    <t>навчальних тижнів</t>
  </si>
  <si>
    <t>Кафедра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</si>
  <si>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</si>
  <si>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</si>
  <si>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</si>
  <si>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</si>
  <si>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</si>
  <si>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</si>
  <si>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</si>
  <si>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</si>
  <si>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</si>
  <si>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</si>
  <si>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</si>
  <si>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</si>
  <si>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 xml:space="preserve">1 семестр          </t>
  </si>
  <si>
    <t xml:space="preserve">2 семестр          </t>
  </si>
  <si>
    <t>Освітня кваліфікація</t>
  </si>
  <si>
    <t>Рік вступу</t>
  </si>
  <si>
    <t>Професійна кваліфікація</t>
  </si>
  <si>
    <t>Роки навчання</t>
  </si>
  <si>
    <t>2023-2024</t>
  </si>
  <si>
    <t>2024-2025</t>
  </si>
  <si>
    <t>Навчальна практика 1 (обчислювальна)</t>
  </si>
  <si>
    <t>Навчальна практика 2 (обчислювальна)</t>
  </si>
  <si>
    <t>Навчальна практика 3</t>
  </si>
  <si>
    <t>Навчальна практика 4</t>
  </si>
  <si>
    <t>Навчальна практика 5 (астрономічна)</t>
  </si>
  <si>
    <t>Комплексний кваліфікаційний іспит</t>
  </si>
  <si>
    <t>Ірина МАНЬКУСЬ</t>
  </si>
  <si>
    <t>2025-2026</t>
  </si>
  <si>
    <t>1 курс (2022-2023 н.р.)</t>
  </si>
  <si>
    <t>Іноземна мова</t>
  </si>
  <si>
    <t>Іноземна мова за професійним спрямуванням</t>
  </si>
  <si>
    <t>Трудове право і підприємницька діяльність</t>
  </si>
  <si>
    <t>Академічна доброчесність</t>
  </si>
  <si>
    <t>Методика виховної роботи</t>
  </si>
  <si>
    <t>Педагогічна творчість</t>
  </si>
  <si>
    <t>Вікова фізіологія та шкільна гігієна</t>
  </si>
  <si>
    <t>Освітній менеджмент</t>
  </si>
  <si>
    <t>Фізика англійською / Physics in English</t>
  </si>
  <si>
    <t>Вибіркова дисципліна 2.4.</t>
  </si>
  <si>
    <t>Вибіркова дисципліна 2.6.</t>
  </si>
  <si>
    <t>ОК 34</t>
  </si>
  <si>
    <t>ОК 35</t>
  </si>
  <si>
    <t>ОК 36</t>
  </si>
  <si>
    <t>ОК 37</t>
  </si>
  <si>
    <t>Математика англійською / Mathematics in English</t>
  </si>
  <si>
    <t>Дискретна математика</t>
  </si>
  <si>
    <t>ОК 38</t>
  </si>
  <si>
    <t>ОК 39</t>
  </si>
  <si>
    <t>Вища математика</t>
  </si>
  <si>
    <t>Теорія ймовірностей та математична статистика</t>
  </si>
  <si>
    <t>2026-2027</t>
  </si>
  <si>
    <t>Затверджено на засіданні вченої ради природничого факультету</t>
  </si>
  <si>
    <t>014.08 Середня освіта (Фізика та астрономія )</t>
  </si>
  <si>
    <t>Середня освіта:  фізика, астрономія, математика</t>
  </si>
  <si>
    <t>Бакалавр освіти за спеціальністю «Середня освіта (Фізика та астрономія)»</t>
  </si>
  <si>
    <t>Вчитель фізики, вчитель астрономії, вчитель математики. Викладач закладу фахової передвищої освіти</t>
  </si>
  <si>
    <r>
      <t xml:space="preserve">Навчальний план складено у відповідності </t>
    </r>
    <r>
      <rPr>
        <u val="single"/>
        <sz val="14"/>
        <rFont val="Times New Roman Cyr"/>
        <family val="0"/>
      </rPr>
      <t>до проекту стандарту вищої освіти за спеціальностью 014.08 Середня освіта (Фізика та астрономія) першого бакалаврського рівня (березень 2023року)</t>
    </r>
    <r>
      <rPr>
        <sz val="14"/>
        <rFont val="Times New Roman Cyr"/>
        <family val="1"/>
      </rPr>
      <t>_  (назва стандарту, за наявності)</t>
    </r>
  </si>
  <si>
    <t>Наталья МИХАЛЬЧЕНКО</t>
  </si>
  <si>
    <t>Проректор                      
із науково-педагогічної роботи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</si>
</sst>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#,##0_р_."/>
    <numFmt numFmtId="201" formatCode="[$-FC19]d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1"/>
      <name val="Times New Roman Cyr"/>
      <family val="0"/>
    </font>
    <font>
      <u val="single"/>
      <sz val="14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double"/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double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double"/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double"/>
      <top style="medium">
        <color rgb="FF000000"/>
      </top>
      <bottom style="medium">
        <color rgb="FF000000"/>
      </bottom>
    </border>
    <border>
      <left style="double"/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/>
      <right style="thick">
        <color rgb="FF000000"/>
      </right>
      <top style="thick">
        <color rgb="FF000000"/>
      </top>
      <bottom>
        <color indexed="63"/>
      </bottom>
    </border>
    <border>
      <left style="double"/>
      <right style="thick">
        <color rgb="FF000000"/>
      </right>
      <top>
        <color indexed="63"/>
      </top>
      <bottom>
        <color indexed="63"/>
      </bottom>
    </border>
    <border>
      <left style="double"/>
      <right style="thick">
        <color rgb="FF000000"/>
      </right>
      <top>
        <color indexed="63"/>
      </top>
      <bottom style="medium">
        <color rgb="FF000000"/>
      </bottom>
    </border>
    <border>
      <left style="double"/>
      <right style="medium">
        <color rgb="FF000000"/>
      </right>
      <top style="medium">
        <color rgb="FF000000"/>
      </top>
      <bottom>
        <color indexed="63"/>
      </bottom>
    </border>
    <border>
      <left style="double"/>
      <right style="medium">
        <color rgb="FF000000"/>
      </right>
      <top>
        <color indexed="63"/>
      </top>
      <bottom>
        <color indexed="63"/>
      </bottom>
    </border>
    <border>
      <left style="double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ouble"/>
      <top style="medium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 style="medium">
        <color rgb="FF000000"/>
      </bottom>
    </border>
    <border>
      <left style="thick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double"/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double"/>
      <top style="thick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6" fillId="2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60" fillId="23" borderId="10" applyNumberFormat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27" borderId="0" applyNumberFormat="0" applyBorder="0" applyAlignment="0" applyProtection="0"/>
  </cellStyleXfs>
  <cellXfs count="46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9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198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98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1" fillId="0" borderId="17" xfId="68" applyFont="1" applyFill="1" applyBorder="1" applyAlignment="1" applyProtection="1">
      <alignment horizontal="center" vertical="center"/>
      <protection/>
    </xf>
    <xf numFmtId="0" fontId="28" fillId="0" borderId="18" xfId="68" applyFont="1" applyFill="1" applyBorder="1" applyAlignment="1" applyProtection="1">
      <alignment horizontal="center" vertical="center"/>
      <protection/>
    </xf>
    <xf numFmtId="0" fontId="28" fillId="0" borderId="19" xfId="68" applyFont="1" applyFill="1" applyBorder="1" applyAlignment="1" applyProtection="1">
      <alignment horizontal="center" vertical="center"/>
      <protection/>
    </xf>
    <xf numFmtId="0" fontId="28" fillId="0" borderId="20" xfId="68" applyFont="1" applyFill="1" applyBorder="1" applyAlignment="1" applyProtection="1">
      <alignment horizontal="center" vertical="center"/>
      <protection/>
    </xf>
    <xf numFmtId="0" fontId="33" fillId="0" borderId="17" xfId="68" applyFont="1" applyFill="1" applyBorder="1" applyAlignment="1" applyProtection="1">
      <alignment horizontal="center" vertical="center"/>
      <protection/>
    </xf>
    <xf numFmtId="0" fontId="28" fillId="0" borderId="21" xfId="68" applyFont="1" applyFill="1" applyBorder="1" applyAlignment="1" applyProtection="1">
      <alignment horizontal="center" vertical="center"/>
      <protection/>
    </xf>
    <xf numFmtId="0" fontId="26" fillId="0" borderId="22" xfId="68" applyFont="1" applyFill="1" applyBorder="1" applyAlignment="1" applyProtection="1">
      <alignment horizontal="center" vertical="center"/>
      <protection/>
    </xf>
    <xf numFmtId="0" fontId="26" fillId="0" borderId="23" xfId="68" applyFont="1" applyFill="1" applyBorder="1" applyAlignment="1" applyProtection="1">
      <alignment horizontal="center" vertical="center"/>
      <protection/>
    </xf>
    <xf numFmtId="0" fontId="26" fillId="0" borderId="24" xfId="68" applyFont="1" applyFill="1" applyBorder="1" applyAlignment="1" applyProtection="1">
      <alignment horizontal="center" vertical="center"/>
      <protection/>
    </xf>
    <xf numFmtId="0" fontId="26" fillId="0" borderId="17" xfId="68" applyFont="1" applyFill="1" applyBorder="1" applyAlignment="1" applyProtection="1">
      <alignment horizontal="center" vertical="center"/>
      <protection/>
    </xf>
    <xf numFmtId="0" fontId="2" fillId="0" borderId="22" xfId="68" applyFont="1" applyFill="1" applyBorder="1" applyAlignment="1" applyProtection="1">
      <alignment horizontal="center" vertical="center"/>
      <protection/>
    </xf>
    <xf numFmtId="0" fontId="2" fillId="0" borderId="23" xfId="68" applyFont="1" applyFill="1" applyBorder="1" applyAlignment="1" applyProtection="1">
      <alignment horizontal="center" vertical="center"/>
      <protection/>
    </xf>
    <xf numFmtId="0" fontId="2" fillId="0" borderId="24" xfId="68" applyFont="1" applyFill="1" applyBorder="1" applyAlignment="1" applyProtection="1">
      <alignment horizontal="center" vertical="center"/>
      <protection/>
    </xf>
    <xf numFmtId="0" fontId="28" fillId="0" borderId="25" xfId="68" applyFont="1" applyFill="1" applyBorder="1" applyAlignment="1" applyProtection="1">
      <alignment horizontal="center" vertical="center"/>
      <protection/>
    </xf>
    <xf numFmtId="0" fontId="26" fillId="0" borderId="26" xfId="68" applyFont="1" applyFill="1" applyBorder="1" applyAlignment="1" applyProtection="1">
      <alignment horizontal="center" vertical="center"/>
      <protection/>
    </xf>
    <xf numFmtId="0" fontId="26" fillId="0" borderId="14" xfId="68" applyFont="1" applyFill="1" applyBorder="1" applyAlignment="1" applyProtection="1">
      <alignment horizontal="center" vertical="center"/>
      <protection/>
    </xf>
    <xf numFmtId="0" fontId="26" fillId="0" borderId="27" xfId="68" applyFont="1" applyFill="1" applyBorder="1" applyAlignment="1" applyProtection="1">
      <alignment horizontal="center" vertical="center"/>
      <protection/>
    </xf>
    <xf numFmtId="0" fontId="2" fillId="0" borderId="26" xfId="68" applyFont="1" applyFill="1" applyBorder="1" applyAlignment="1" applyProtection="1">
      <alignment horizontal="center" vertical="center"/>
      <protection/>
    </xf>
    <xf numFmtId="0" fontId="2" fillId="0" borderId="28" xfId="68" applyFont="1" applyFill="1" applyBorder="1" applyAlignment="1" applyProtection="1">
      <alignment horizontal="center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0" fontId="28" fillId="0" borderId="30" xfId="68" applyFont="1" applyFill="1" applyBorder="1" applyAlignment="1" applyProtection="1">
      <alignment horizontal="center" vertical="center"/>
      <protection/>
    </xf>
    <xf numFmtId="0" fontId="26" fillId="0" borderId="18" xfId="68" applyFont="1" applyFill="1" applyBorder="1" applyAlignment="1" applyProtection="1">
      <alignment horizontal="center" vertical="center"/>
      <protection/>
    </xf>
    <xf numFmtId="0" fontId="26" fillId="0" borderId="19" xfId="68" applyFont="1" applyFill="1" applyBorder="1" applyAlignment="1" applyProtection="1">
      <alignment horizontal="center" vertical="center"/>
      <protection/>
    </xf>
    <xf numFmtId="0" fontId="26" fillId="0" borderId="20" xfId="68" applyFont="1" applyFill="1" applyBorder="1" applyAlignment="1" applyProtection="1">
      <alignment horizontal="center" vertical="center"/>
      <protection/>
    </xf>
    <xf numFmtId="0" fontId="2" fillId="0" borderId="18" xfId="68" applyFont="1" applyFill="1" applyBorder="1" applyAlignment="1" applyProtection="1">
      <alignment horizontal="center" vertical="center"/>
      <protection/>
    </xf>
    <xf numFmtId="0" fontId="2" fillId="0" borderId="31" xfId="68" applyFont="1" applyFill="1" applyBorder="1" applyAlignment="1" applyProtection="1">
      <alignment horizontal="center" vertical="center"/>
      <protection/>
    </xf>
    <xf numFmtId="0" fontId="2" fillId="0" borderId="32" xfId="68" applyFont="1" applyFill="1" applyBorder="1" applyAlignment="1" applyProtection="1">
      <alignment horizontal="center" vertical="center"/>
      <protection/>
    </xf>
    <xf numFmtId="0" fontId="37" fillId="0" borderId="18" xfId="68" applyFont="1" applyFill="1" applyBorder="1" applyAlignment="1" applyProtection="1">
      <alignment horizontal="center" vertical="center"/>
      <protection/>
    </xf>
    <xf numFmtId="0" fontId="21" fillId="0" borderId="0" xfId="68" applyFont="1" applyFill="1" applyAlignment="1" applyProtection="1">
      <alignment horizontal="left" vertical="center"/>
      <protection/>
    </xf>
    <xf numFmtId="0" fontId="25" fillId="0" borderId="0" xfId="68" applyFont="1" applyFill="1" applyAlignment="1" applyProtection="1">
      <alignment horizontal="center" vertical="center"/>
      <protection/>
    </xf>
    <xf numFmtId="0" fontId="24" fillId="0" borderId="14" xfId="68" applyFont="1" applyFill="1" applyBorder="1" applyAlignment="1" applyProtection="1">
      <alignment horizontal="center" vertical="center"/>
      <protection/>
    </xf>
    <xf numFmtId="0" fontId="21" fillId="0" borderId="0" xfId="68" applyFont="1" applyFill="1" applyAlignment="1" applyProtection="1">
      <alignment vertical="top" wrapText="1"/>
      <protection/>
    </xf>
    <xf numFmtId="0" fontId="26" fillId="0" borderId="14" xfId="68" applyFont="1" applyFill="1" applyBorder="1" applyAlignment="1" applyProtection="1">
      <alignment horizontal="center" vertical="center"/>
      <protection/>
    </xf>
    <xf numFmtId="0" fontId="1" fillId="0" borderId="0" xfId="68" applyFill="1" applyAlignment="1" applyProtection="1">
      <alignment horizontal="center" vertical="center"/>
      <protection/>
    </xf>
    <xf numFmtId="0" fontId="2" fillId="0" borderId="33" xfId="70" applyFont="1" applyFill="1" applyBorder="1" applyAlignment="1" applyProtection="1">
      <alignment vertical="top"/>
      <protection/>
    </xf>
    <xf numFmtId="0" fontId="29" fillId="0" borderId="0" xfId="69" applyFont="1" applyFill="1" applyBorder="1" applyAlignment="1" applyProtection="1">
      <alignment/>
      <protection/>
    </xf>
    <xf numFmtId="198" fontId="29" fillId="0" borderId="0" xfId="69" applyNumberFormat="1" applyFont="1" applyFill="1" applyBorder="1" applyAlignment="1" applyProtection="1">
      <alignment/>
      <protection/>
    </xf>
    <xf numFmtId="1" fontId="29" fillId="0" borderId="0" xfId="69" applyNumberFormat="1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horizontal="left" vertical="top"/>
      <protection/>
    </xf>
    <xf numFmtId="0" fontId="29" fillId="0" borderId="0" xfId="69" applyFont="1" applyFill="1" applyBorder="1" applyProtection="1">
      <alignment/>
      <protection/>
    </xf>
    <xf numFmtId="49" fontId="23" fillId="0" borderId="23" xfId="69" applyNumberFormat="1" applyFont="1" applyFill="1" applyBorder="1" applyAlignment="1" applyProtection="1">
      <alignment horizontal="center" vertical="center" wrapText="1"/>
      <protection/>
    </xf>
    <xf numFmtId="0" fontId="23" fillId="0" borderId="14" xfId="69" applyNumberFormat="1" applyFont="1" applyFill="1" applyBorder="1" applyAlignment="1" applyProtection="1">
      <alignment horizontal="center" vertical="center" wrapText="1"/>
      <protection/>
    </xf>
    <xf numFmtId="198" fontId="23" fillId="0" borderId="14" xfId="69" applyNumberFormat="1" applyFont="1" applyFill="1" applyBorder="1" applyAlignment="1" applyProtection="1">
      <alignment horizontal="center" vertical="center" wrapText="1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28" fillId="0" borderId="0" xfId="69" applyFont="1" applyFill="1" applyBorder="1" applyProtection="1">
      <alignment/>
      <protection/>
    </xf>
    <xf numFmtId="0" fontId="1" fillId="0" borderId="0" xfId="69" applyFont="1" applyProtection="1">
      <alignment/>
      <protection/>
    </xf>
    <xf numFmtId="0" fontId="1" fillId="0" borderId="0" xfId="69" applyFont="1" applyProtection="1">
      <alignment/>
      <protection/>
    </xf>
    <xf numFmtId="0" fontId="1" fillId="0" borderId="0" xfId="69" applyFont="1" applyFill="1" applyProtection="1">
      <alignment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8" applyFont="1" applyFill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35" xfId="0" applyNumberFormat="1" applyFont="1" applyFill="1" applyBorder="1" applyAlignment="1" applyProtection="1">
      <alignment horizontal="center" vertical="center"/>
      <protection/>
    </xf>
    <xf numFmtId="0" fontId="45" fillId="0" borderId="26" xfId="0" applyFont="1" applyFill="1" applyBorder="1" applyAlignment="1" applyProtection="1">
      <alignment horizontal="center" vertical="center"/>
      <protection/>
    </xf>
    <xf numFmtId="1" fontId="45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3" fillId="0" borderId="14" xfId="69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68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3" fillId="0" borderId="26" xfId="69" applyFont="1" applyFill="1" applyBorder="1" applyAlignment="1" applyProtection="1">
      <alignment horizontal="center" vertical="center" wrapText="1"/>
      <protection/>
    </xf>
    <xf numFmtId="0" fontId="23" fillId="0" borderId="14" xfId="69" applyFont="1" applyFill="1" applyBorder="1" applyAlignment="1" applyProtection="1">
      <alignment horizontal="center" vertical="center" wrapText="1"/>
      <protection/>
    </xf>
    <xf numFmtId="1" fontId="23" fillId="0" borderId="14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49" fontId="31" fillId="0" borderId="0" xfId="59" applyNumberFormat="1" applyFont="1" applyFill="1" applyBorder="1" applyAlignment="1" applyProtection="1">
      <alignment vertical="top" wrapText="1"/>
      <protection locked="0"/>
    </xf>
    <xf numFmtId="0" fontId="31" fillId="0" borderId="0" xfId="69" applyFont="1" applyFill="1" applyBorder="1" applyAlignment="1" applyProtection="1">
      <alignment horizontal="left" vertical="top" wrapText="1"/>
      <protection locked="0"/>
    </xf>
    <xf numFmtId="1" fontId="31" fillId="0" borderId="0" xfId="69" applyNumberFormat="1" applyFont="1" applyFill="1" applyBorder="1" applyAlignment="1" applyProtection="1">
      <alignment wrapText="1"/>
      <protection locked="0"/>
    </xf>
    <xf numFmtId="0" fontId="31" fillId="0" borderId="0" xfId="69" applyFont="1" applyFill="1" applyBorder="1" applyAlignment="1" applyProtection="1">
      <alignment wrapText="1"/>
      <protection locked="0"/>
    </xf>
    <xf numFmtId="0" fontId="31" fillId="0" borderId="0" xfId="69" applyFont="1" applyFill="1" applyBorder="1" applyAlignment="1" applyProtection="1">
      <alignment/>
      <protection locked="0"/>
    </xf>
    <xf numFmtId="198" fontId="31" fillId="0" borderId="0" xfId="69" applyNumberFormat="1" applyFont="1" applyFill="1" applyBorder="1" applyAlignment="1" applyProtection="1">
      <alignment/>
      <protection locked="0"/>
    </xf>
    <xf numFmtId="1" fontId="31" fillId="0" borderId="0" xfId="69" applyNumberFormat="1" applyFont="1" applyFill="1" applyBorder="1" applyAlignment="1" applyProtection="1">
      <alignment/>
      <protection locked="0"/>
    </xf>
    <xf numFmtId="49" fontId="25" fillId="0" borderId="0" xfId="70" applyNumberFormat="1" applyFont="1" applyFill="1" applyBorder="1" applyAlignment="1" applyProtection="1">
      <alignment vertical="top"/>
      <protection locked="0"/>
    </xf>
    <xf numFmtId="0" fontId="25" fillId="0" borderId="0" xfId="69" applyFont="1" applyFill="1" applyProtection="1">
      <alignment/>
      <protection locked="0"/>
    </xf>
    <xf numFmtId="0" fontId="25" fillId="0" borderId="0" xfId="70" applyFont="1" applyFill="1" applyBorder="1" applyProtection="1">
      <alignment/>
      <protection locked="0"/>
    </xf>
    <xf numFmtId="0" fontId="25" fillId="0" borderId="0" xfId="70" applyFont="1" applyFill="1" applyBorder="1" applyAlignment="1" applyProtection="1">
      <alignment/>
      <protection locked="0"/>
    </xf>
    <xf numFmtId="0" fontId="25" fillId="0" borderId="41" xfId="70" applyFont="1" applyFill="1" applyBorder="1" applyAlignment="1" applyProtection="1">
      <alignment/>
      <protection locked="0"/>
    </xf>
    <xf numFmtId="0" fontId="31" fillId="0" borderId="41" xfId="69" applyFont="1" applyFill="1" applyBorder="1" applyAlignment="1" applyProtection="1">
      <alignment vertical="center"/>
      <protection locked="0"/>
    </xf>
    <xf numFmtId="0" fontId="25" fillId="0" borderId="0" xfId="69" applyFont="1" applyFill="1" applyAlignment="1" applyProtection="1">
      <alignment vertical="center"/>
      <protection locked="0"/>
    </xf>
    <xf numFmtId="0" fontId="25" fillId="0" borderId="0" xfId="69" applyFont="1" applyFill="1" applyAlignment="1" applyProtection="1">
      <alignment wrapText="1"/>
      <protection locked="0"/>
    </xf>
    <xf numFmtId="0" fontId="25" fillId="0" borderId="0" xfId="69" applyFont="1" applyFill="1" applyAlignment="1" applyProtection="1">
      <alignment/>
      <protection locked="0"/>
    </xf>
    <xf numFmtId="0" fontId="25" fillId="0" borderId="41" xfId="69" applyFont="1" applyFill="1" applyBorder="1" applyAlignment="1" applyProtection="1">
      <alignment/>
      <protection locked="0"/>
    </xf>
    <xf numFmtId="0" fontId="45" fillId="0" borderId="27" xfId="0" applyFont="1" applyFill="1" applyBorder="1" applyAlignment="1" applyProtection="1">
      <alignment horizontal="left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/>
      <protection/>
    </xf>
    <xf numFmtId="0" fontId="23" fillId="0" borderId="43" xfId="0" applyNumberFormat="1" applyFont="1" applyFill="1" applyBorder="1" applyAlignment="1" applyProtection="1">
      <alignment horizontal="center" vertical="center"/>
      <protection/>
    </xf>
    <xf numFmtId="0" fontId="23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left" vertical="center"/>
      <protection/>
    </xf>
    <xf numFmtId="0" fontId="35" fillId="0" borderId="44" xfId="0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44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left" vertical="center" wrapText="1"/>
      <protection locked="0"/>
    </xf>
    <xf numFmtId="0" fontId="45" fillId="0" borderId="27" xfId="0" applyFont="1" applyFill="1" applyBorder="1" applyAlignment="1" applyProtection="1">
      <alignment horizontal="left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0" fontId="36" fillId="0" borderId="44" xfId="0" applyFont="1" applyFill="1" applyBorder="1" applyAlignment="1" applyProtection="1">
      <alignment horizontal="center" vertical="center"/>
      <protection/>
    </xf>
    <xf numFmtId="0" fontId="45" fillId="0" borderId="22" xfId="69" applyNumberFormat="1" applyFont="1" applyFill="1" applyBorder="1" applyAlignment="1" applyProtection="1">
      <alignment horizontal="center" vertical="center" wrapText="1"/>
      <protection/>
    </xf>
    <xf numFmtId="0" fontId="45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26" xfId="69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45" fillId="0" borderId="51" xfId="0" applyFont="1" applyFill="1" applyBorder="1" applyAlignment="1" applyProtection="1">
      <alignment horizontal="left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1" fontId="45" fillId="0" borderId="27" xfId="0" applyNumberFormat="1" applyFont="1" applyFill="1" applyBorder="1" applyAlignment="1" applyProtection="1">
      <alignment horizontal="center" vertical="center"/>
      <protection locked="0"/>
    </xf>
    <xf numFmtId="49" fontId="45" fillId="0" borderId="26" xfId="69" applyNumberFormat="1" applyFont="1" applyFill="1" applyBorder="1" applyAlignment="1" applyProtection="1">
      <alignment horizontal="center" vertical="center" wrapText="1"/>
      <protection/>
    </xf>
    <xf numFmtId="200" fontId="45" fillId="0" borderId="14" xfId="0" applyNumberFormat="1" applyFont="1" applyFill="1" applyBorder="1" applyAlignment="1" applyProtection="1">
      <alignment horizontal="center" vertical="center"/>
      <protection/>
    </xf>
    <xf numFmtId="49" fontId="45" fillId="0" borderId="52" xfId="69" applyNumberFormat="1" applyFont="1" applyFill="1" applyBorder="1" applyAlignment="1" applyProtection="1">
      <alignment horizontal="center" vertical="center" wrapText="1"/>
      <protection/>
    </xf>
    <xf numFmtId="0" fontId="23" fillId="0" borderId="53" xfId="0" applyFont="1" applyFill="1" applyBorder="1" applyAlignment="1" applyProtection="1">
      <alignment horizontal="center" vertical="center"/>
      <protection/>
    </xf>
    <xf numFmtId="0" fontId="23" fillId="0" borderId="54" xfId="0" applyFont="1" applyFill="1" applyBorder="1" applyAlignment="1" applyProtection="1">
      <alignment horizontal="center" vertical="center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1" fontId="45" fillId="0" borderId="34" xfId="0" applyNumberFormat="1" applyFont="1" applyFill="1" applyBorder="1" applyAlignment="1" applyProtection="1">
      <alignment horizontal="center" vertical="center"/>
      <protection/>
    </xf>
    <xf numFmtId="200" fontId="45" fillId="0" borderId="34" xfId="0" applyNumberFormat="1" applyFont="1" applyFill="1" applyBorder="1" applyAlignment="1" applyProtection="1">
      <alignment horizontal="center" vertical="center"/>
      <protection/>
    </xf>
    <xf numFmtId="1" fontId="45" fillId="0" borderId="52" xfId="0" applyNumberFormat="1" applyFont="1" applyFill="1" applyBorder="1" applyAlignment="1" applyProtection="1">
      <alignment horizontal="center" vertical="center"/>
      <protection/>
    </xf>
    <xf numFmtId="1" fontId="45" fillId="0" borderId="51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56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2" fillId="0" borderId="0" xfId="68" applyFont="1" applyFill="1" applyAlignment="1" applyProtection="1">
      <alignment vertical="top"/>
      <protection/>
    </xf>
    <xf numFmtId="0" fontId="31" fillId="0" borderId="0" xfId="68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31" fillId="0" borderId="0" xfId="68" applyFont="1" applyFill="1" applyBorder="1" applyAlignment="1" applyProtection="1">
      <alignment horizontal="center"/>
      <protection/>
    </xf>
    <xf numFmtId="0" fontId="26" fillId="0" borderId="22" xfId="68" applyFont="1" applyFill="1" applyBorder="1" applyAlignment="1" applyProtection="1">
      <alignment horizontal="center" vertical="center"/>
      <protection locked="0"/>
    </xf>
    <xf numFmtId="0" fontId="26" fillId="0" borderId="23" xfId="68" applyFont="1" applyFill="1" applyBorder="1" applyAlignment="1" applyProtection="1">
      <alignment horizontal="center" vertical="center"/>
      <protection locked="0"/>
    </xf>
    <xf numFmtId="0" fontId="26" fillId="0" borderId="24" xfId="68" applyFont="1" applyFill="1" applyBorder="1" applyAlignment="1" applyProtection="1">
      <alignment horizontal="center" vertical="center"/>
      <protection locked="0"/>
    </xf>
    <xf numFmtId="0" fontId="26" fillId="0" borderId="26" xfId="68" applyFont="1" applyFill="1" applyBorder="1" applyAlignment="1" applyProtection="1">
      <alignment horizontal="center" vertical="center"/>
      <protection locked="0"/>
    </xf>
    <xf numFmtId="0" fontId="26" fillId="0" borderId="14" xfId="68" applyFont="1" applyFill="1" applyBorder="1" applyAlignment="1" applyProtection="1">
      <alignment horizontal="center" vertical="center"/>
      <protection locked="0"/>
    </xf>
    <xf numFmtId="0" fontId="26" fillId="0" borderId="27" xfId="68" applyFont="1" applyFill="1" applyBorder="1" applyAlignment="1" applyProtection="1">
      <alignment horizontal="center" vertical="center"/>
      <protection locked="0"/>
    </xf>
    <xf numFmtId="0" fontId="26" fillId="0" borderId="18" xfId="68" applyFont="1" applyFill="1" applyBorder="1" applyAlignment="1" applyProtection="1">
      <alignment horizontal="center" vertical="center"/>
      <protection locked="0"/>
    </xf>
    <xf numFmtId="0" fontId="26" fillId="0" borderId="19" xfId="68" applyFont="1" applyFill="1" applyBorder="1" applyAlignment="1" applyProtection="1">
      <alignment horizontal="center" vertical="center"/>
      <protection locked="0"/>
    </xf>
    <xf numFmtId="0" fontId="26" fillId="0" borderId="20" xfId="68" applyFont="1" applyFill="1" applyBorder="1" applyAlignment="1" applyProtection="1">
      <alignment horizontal="center" vertical="center"/>
      <protection locked="0"/>
    </xf>
    <xf numFmtId="0" fontId="26" fillId="0" borderId="19" xfId="68" applyFont="1" applyFill="1" applyBorder="1" applyAlignment="1" applyProtection="1">
      <alignment horizontal="center" vertical="center" wrapText="1"/>
      <protection locked="0"/>
    </xf>
    <xf numFmtId="0" fontId="26" fillId="0" borderId="20" xfId="68" applyFont="1" applyFill="1" applyBorder="1" applyAlignment="1" applyProtection="1">
      <alignment horizontal="center" vertical="center" wrapText="1"/>
      <protection locked="0"/>
    </xf>
    <xf numFmtId="0" fontId="26" fillId="0" borderId="18" xfId="68" applyFont="1" applyFill="1" applyBorder="1" applyAlignment="1" applyProtection="1">
      <alignment horizontal="center" vertical="center" wrapText="1"/>
      <protection locked="0"/>
    </xf>
    <xf numFmtId="0" fontId="1" fillId="0" borderId="0" xfId="68" applyFill="1" applyAlignment="1" applyProtection="1">
      <alignment horizontal="center"/>
      <protection/>
    </xf>
    <xf numFmtId="0" fontId="24" fillId="0" borderId="0" xfId="68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23" fillId="0" borderId="18" xfId="69" applyFont="1" applyFill="1" applyBorder="1" applyAlignment="1" applyProtection="1">
      <alignment horizontal="center" vertical="center" wrapText="1"/>
      <protection/>
    </xf>
    <xf numFmtId="0" fontId="23" fillId="0" borderId="19" xfId="69" applyFont="1" applyFill="1" applyBorder="1" applyAlignment="1" applyProtection="1">
      <alignment horizontal="center" vertical="center" wrapText="1"/>
      <protection/>
    </xf>
    <xf numFmtId="1" fontId="23" fillId="0" borderId="19" xfId="69" applyNumberFormat="1" applyFont="1" applyFill="1" applyBorder="1" applyAlignment="1" applyProtection="1">
      <alignment horizontal="center" vertical="center" wrapText="1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4" xfId="0" applyNumberFormat="1" applyFont="1" applyFill="1" applyBorder="1" applyAlignment="1" applyProtection="1">
      <alignment horizontal="center" vertical="center"/>
      <protection locked="0"/>
    </xf>
    <xf numFmtId="1" fontId="45" fillId="0" borderId="52" xfId="0" applyNumberFormat="1" applyFont="1" applyFill="1" applyBorder="1" applyAlignment="1" applyProtection="1">
      <alignment horizontal="center" vertical="center"/>
      <protection locked="0"/>
    </xf>
    <xf numFmtId="1" fontId="45" fillId="0" borderId="34" xfId="0" applyNumberFormat="1" applyFont="1" applyFill="1" applyBorder="1" applyAlignment="1" applyProtection="1">
      <alignment horizontal="center" vertical="center"/>
      <protection locked="0"/>
    </xf>
    <xf numFmtId="1" fontId="45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35" fillId="29" borderId="57" xfId="67" applyFont="1" applyFill="1" applyBorder="1" applyAlignment="1" applyProtection="1">
      <alignment horizontal="center" vertical="center" wrapText="1"/>
      <protection locked="0"/>
    </xf>
    <xf numFmtId="0" fontId="35" fillId="29" borderId="58" xfId="67" applyFont="1" applyFill="1" applyBorder="1" applyAlignment="1" applyProtection="1">
      <alignment wrapText="1"/>
      <protection locked="0"/>
    </xf>
    <xf numFmtId="0" fontId="23" fillId="0" borderId="59" xfId="0" applyFont="1" applyFill="1" applyBorder="1" applyAlignment="1" applyProtection="1">
      <alignment horizontal="center" textRotation="90" wrapText="1"/>
      <protection/>
    </xf>
    <xf numFmtId="0" fontId="23" fillId="0" borderId="60" xfId="0" applyFont="1" applyFill="1" applyBorder="1" applyAlignment="1" applyProtection="1">
      <alignment horizontal="center" vertical="center" wrapText="1"/>
      <protection locked="0"/>
    </xf>
    <xf numFmtId="0" fontId="45" fillId="30" borderId="61" xfId="0" applyFont="1" applyFill="1" applyBorder="1" applyAlignment="1" applyProtection="1">
      <alignment horizontal="left" vertical="center" wrapText="1"/>
      <protection/>
    </xf>
    <xf numFmtId="1" fontId="35" fillId="29" borderId="5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9" xfId="0" applyFont="1" applyFill="1" applyBorder="1" applyAlignment="1" applyProtection="1">
      <alignment horizontal="center" vertical="center" wrapText="1"/>
      <protection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 locked="0"/>
    </xf>
    <xf numFmtId="198" fontId="23" fillId="0" borderId="59" xfId="0" applyNumberFormat="1" applyFont="1" applyFill="1" applyBorder="1" applyAlignment="1" applyProtection="1">
      <alignment horizontal="center" vertical="center" wrapText="1"/>
      <protection/>
    </xf>
    <xf numFmtId="0" fontId="23" fillId="29" borderId="62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45" fillId="30" borderId="61" xfId="0" applyFont="1" applyFill="1" applyBorder="1" applyAlignment="1" applyProtection="1">
      <alignment horizontal="left" vertical="center"/>
      <protection/>
    </xf>
    <xf numFmtId="0" fontId="45" fillId="30" borderId="61" xfId="0" applyFont="1" applyFill="1" applyBorder="1" applyAlignment="1" applyProtection="1">
      <alignment horizontal="left" vertical="center" wrapText="1"/>
      <protection locked="0"/>
    </xf>
    <xf numFmtId="1" fontId="23" fillId="29" borderId="59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64" xfId="0" applyNumberFormat="1" applyFont="1" applyFill="1" applyBorder="1" applyAlignment="1" applyProtection="1">
      <alignment horizontal="center" vertical="center" wrapText="1"/>
      <protection/>
    </xf>
    <xf numFmtId="0" fontId="35" fillId="0" borderId="64" xfId="0" applyFont="1" applyFill="1" applyBorder="1" applyAlignment="1" applyProtection="1">
      <alignment horizontal="center" vertical="center" wrapText="1"/>
      <protection/>
    </xf>
    <xf numFmtId="198" fontId="35" fillId="0" borderId="64" xfId="0" applyNumberFormat="1" applyFont="1" applyFill="1" applyBorder="1" applyAlignment="1" applyProtection="1">
      <alignment horizontal="center" vertical="center" wrapText="1"/>
      <protection/>
    </xf>
    <xf numFmtId="0" fontId="35" fillId="0" borderId="65" xfId="0" applyFont="1" applyFill="1" applyBorder="1" applyAlignment="1" applyProtection="1">
      <alignment horizontal="center" vertical="center" wrapText="1"/>
      <protection/>
    </xf>
    <xf numFmtId="0" fontId="35" fillId="0" borderId="66" xfId="0" applyFont="1" applyFill="1" applyBorder="1" applyAlignment="1" applyProtection="1">
      <alignment horizontal="center" vertical="center" wrapText="1"/>
      <protection locked="0"/>
    </xf>
    <xf numFmtId="0" fontId="48" fillId="0" borderId="42" xfId="68" applyFont="1" applyFill="1" applyBorder="1" applyAlignment="1" applyProtection="1">
      <alignment horizontal="center" vertical="center" wrapText="1"/>
      <protection locked="0"/>
    </xf>
    <xf numFmtId="0" fontId="26" fillId="0" borderId="42" xfId="68" applyFont="1" applyFill="1" applyBorder="1" applyAlignment="1" applyProtection="1">
      <alignment/>
      <protection locked="0"/>
    </xf>
    <xf numFmtId="1" fontId="23" fillId="0" borderId="34" xfId="69" applyNumberFormat="1" applyFont="1" applyFill="1" applyBorder="1" applyAlignment="1" applyProtection="1">
      <alignment horizontal="center" vertical="center" wrapText="1"/>
      <protection/>
    </xf>
    <xf numFmtId="1" fontId="23" fillId="0" borderId="51" xfId="69" applyNumberFormat="1" applyFont="1" applyFill="1" applyBorder="1" applyAlignment="1" applyProtection="1">
      <alignment horizontal="center" vertical="center" wrapText="1"/>
      <protection/>
    </xf>
    <xf numFmtId="0" fontId="28" fillId="0" borderId="67" xfId="68" applyFont="1" applyFill="1" applyBorder="1" applyAlignment="1" applyProtection="1">
      <alignment horizontal="center" vertical="center"/>
      <protection/>
    </xf>
    <xf numFmtId="0" fontId="26" fillId="0" borderId="47" xfId="68" applyFont="1" applyFill="1" applyBorder="1" applyAlignment="1" applyProtection="1">
      <alignment horizontal="center" vertical="center"/>
      <protection/>
    </xf>
    <xf numFmtId="0" fontId="26" fillId="0" borderId="43" xfId="68" applyFont="1" applyFill="1" applyBorder="1" applyAlignment="1" applyProtection="1">
      <alignment horizontal="center" vertical="center"/>
      <protection/>
    </xf>
    <xf numFmtId="0" fontId="26" fillId="0" borderId="67" xfId="68" applyFont="1" applyFill="1" applyBorder="1" applyAlignment="1" applyProtection="1">
      <alignment horizontal="center" vertical="center"/>
      <protection/>
    </xf>
    <xf numFmtId="0" fontId="23" fillId="29" borderId="59" xfId="0" applyFont="1" applyFill="1" applyBorder="1" applyAlignment="1" applyProtection="1">
      <alignment horizontal="center" vertical="center" wrapText="1"/>
      <protection locked="0"/>
    </xf>
    <xf numFmtId="0" fontId="45" fillId="29" borderId="26" xfId="0" applyFont="1" applyFill="1" applyBorder="1" applyAlignment="1" applyProtection="1">
      <alignment horizontal="center" vertical="center"/>
      <protection/>
    </xf>
    <xf numFmtId="0" fontId="45" fillId="29" borderId="27" xfId="0" applyFont="1" applyFill="1" applyBorder="1" applyAlignment="1" applyProtection="1">
      <alignment horizontal="left" vertical="center" wrapText="1"/>
      <protection locked="0"/>
    </xf>
    <xf numFmtId="0" fontId="23" fillId="29" borderId="42" xfId="0" applyFont="1" applyFill="1" applyBorder="1" applyAlignment="1" applyProtection="1">
      <alignment horizontal="center" vertical="center"/>
      <protection/>
    </xf>
    <xf numFmtId="0" fontId="23" fillId="29" borderId="43" xfId="0" applyFont="1" applyFill="1" applyBorder="1" applyAlignment="1" applyProtection="1">
      <alignment horizontal="center" vertical="center"/>
      <protection/>
    </xf>
    <xf numFmtId="0" fontId="23" fillId="29" borderId="35" xfId="0" applyFont="1" applyFill="1" applyBorder="1" applyAlignment="1" applyProtection="1">
      <alignment horizontal="center" vertical="center"/>
      <protection/>
    </xf>
    <xf numFmtId="1" fontId="45" fillId="29" borderId="26" xfId="0" applyNumberFormat="1" applyFont="1" applyFill="1" applyBorder="1" applyAlignment="1" applyProtection="1">
      <alignment horizontal="center" vertical="center"/>
      <protection/>
    </xf>
    <xf numFmtId="1" fontId="45" fillId="29" borderId="14" xfId="0" applyNumberFormat="1" applyFont="1" applyFill="1" applyBorder="1" applyAlignment="1" applyProtection="1">
      <alignment horizontal="center" vertical="center"/>
      <protection/>
    </xf>
    <xf numFmtId="0" fontId="45" fillId="29" borderId="14" xfId="0" applyFont="1" applyFill="1" applyBorder="1" applyAlignment="1" applyProtection="1">
      <alignment horizontal="center" vertical="center"/>
      <protection/>
    </xf>
    <xf numFmtId="1" fontId="45" fillId="29" borderId="35" xfId="0" applyNumberFormat="1" applyFont="1" applyFill="1" applyBorder="1" applyAlignment="1" applyProtection="1">
      <alignment horizontal="center" vertical="center"/>
      <protection/>
    </xf>
    <xf numFmtId="0" fontId="45" fillId="29" borderId="27" xfId="0" applyFont="1" applyFill="1" applyBorder="1" applyAlignment="1" applyProtection="1">
      <alignment horizontal="left" vertical="center" wrapText="1"/>
      <protection/>
    </xf>
    <xf numFmtId="0" fontId="45" fillId="31" borderId="26" xfId="0" applyFont="1" applyFill="1" applyBorder="1" applyAlignment="1" applyProtection="1">
      <alignment horizontal="center" vertical="center"/>
      <protection/>
    </xf>
    <xf numFmtId="0" fontId="45" fillId="31" borderId="27" xfId="0" applyFont="1" applyFill="1" applyBorder="1" applyAlignment="1" applyProtection="1">
      <alignment horizontal="left" vertical="center" wrapText="1"/>
      <protection locked="0"/>
    </xf>
    <xf numFmtId="0" fontId="23" fillId="31" borderId="42" xfId="0" applyFont="1" applyFill="1" applyBorder="1" applyAlignment="1" applyProtection="1">
      <alignment horizontal="center" vertical="center"/>
      <protection/>
    </xf>
    <xf numFmtId="0" fontId="23" fillId="31" borderId="43" xfId="0" applyFont="1" applyFill="1" applyBorder="1" applyAlignment="1" applyProtection="1">
      <alignment horizontal="center" vertical="center"/>
      <protection/>
    </xf>
    <xf numFmtId="0" fontId="23" fillId="31" borderId="35" xfId="0" applyFont="1" applyFill="1" applyBorder="1" applyAlignment="1" applyProtection="1">
      <alignment horizontal="center" vertical="center"/>
      <protection/>
    </xf>
    <xf numFmtId="1" fontId="45" fillId="31" borderId="26" xfId="0" applyNumberFormat="1" applyFont="1" applyFill="1" applyBorder="1" applyAlignment="1" applyProtection="1">
      <alignment horizontal="center" vertical="center"/>
      <protection/>
    </xf>
    <xf numFmtId="1" fontId="45" fillId="31" borderId="14" xfId="0" applyNumberFormat="1" applyFont="1" applyFill="1" applyBorder="1" applyAlignment="1" applyProtection="1">
      <alignment horizontal="center" vertical="center"/>
      <protection/>
    </xf>
    <xf numFmtId="0" fontId="45" fillId="31" borderId="14" xfId="0" applyFont="1" applyFill="1" applyBorder="1" applyAlignment="1" applyProtection="1">
      <alignment horizontal="center" vertical="center"/>
      <protection/>
    </xf>
    <xf numFmtId="1" fontId="45" fillId="31" borderId="35" xfId="0" applyNumberFormat="1" applyFont="1" applyFill="1" applyBorder="1" applyAlignment="1" applyProtection="1">
      <alignment horizontal="center" vertical="center"/>
      <protection/>
    </xf>
    <xf numFmtId="0" fontId="21" fillId="0" borderId="0" xfId="68" applyFont="1" applyFill="1" applyAlignment="1" applyProtection="1">
      <alignment horizontal="left" vertical="top" wrapText="1"/>
      <protection/>
    </xf>
    <xf numFmtId="0" fontId="31" fillId="0" borderId="0" xfId="68" applyFont="1" applyFill="1" applyAlignment="1" applyProtection="1">
      <alignment horizontal="left"/>
      <protection/>
    </xf>
    <xf numFmtId="0" fontId="26" fillId="0" borderId="41" xfId="68" applyFont="1" applyFill="1" applyBorder="1" applyAlignment="1" applyProtection="1">
      <alignment horizontal="left"/>
      <protection/>
    </xf>
    <xf numFmtId="0" fontId="26" fillId="0" borderId="42" xfId="68" applyFont="1" applyFill="1" applyBorder="1" applyAlignment="1" applyProtection="1">
      <alignment horizontal="left"/>
      <protection/>
    </xf>
    <xf numFmtId="0" fontId="26" fillId="0" borderId="42" xfId="68" applyFont="1" applyFill="1" applyBorder="1" applyAlignment="1" applyProtection="1">
      <alignment horizontal="left"/>
      <protection locked="0"/>
    </xf>
    <xf numFmtId="49" fontId="27" fillId="0" borderId="68" xfId="68" applyNumberFormat="1" applyFont="1" applyFill="1" applyBorder="1" applyAlignment="1" applyProtection="1">
      <alignment horizontal="center" vertical="center" wrapText="1"/>
      <protection/>
    </xf>
    <xf numFmtId="49" fontId="27" fillId="0" borderId="31" xfId="68" applyNumberFormat="1" applyFont="1" applyFill="1" applyBorder="1" applyAlignment="1" applyProtection="1">
      <alignment horizontal="center" vertical="center" wrapText="1"/>
      <protection/>
    </xf>
    <xf numFmtId="49" fontId="27" fillId="0" borderId="69" xfId="68" applyNumberFormat="1" applyFont="1" applyFill="1" applyBorder="1" applyAlignment="1" applyProtection="1">
      <alignment horizontal="center" vertical="center" wrapText="1"/>
      <protection/>
    </xf>
    <xf numFmtId="49" fontId="27" fillId="0" borderId="32" xfId="68" applyNumberFormat="1" applyFont="1" applyFill="1" applyBorder="1" applyAlignment="1" applyProtection="1">
      <alignment horizontal="center" vertical="center" wrapText="1"/>
      <protection/>
    </xf>
    <xf numFmtId="0" fontId="21" fillId="0" borderId="0" xfId="68" applyFont="1" applyFill="1" applyAlignment="1" applyProtection="1">
      <alignment vertical="top" wrapText="1"/>
      <protection/>
    </xf>
    <xf numFmtId="0" fontId="43" fillId="0" borderId="0" xfId="68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1" fillId="0" borderId="22" xfId="68" applyFont="1" applyFill="1" applyBorder="1" applyAlignment="1" applyProtection="1">
      <alignment horizontal="center" vertical="center"/>
      <protection/>
    </xf>
    <xf numFmtId="0" fontId="21" fillId="0" borderId="23" xfId="68" applyFont="1" applyFill="1" applyBorder="1" applyAlignment="1" applyProtection="1">
      <alignment horizontal="center" vertical="center"/>
      <protection/>
    </xf>
    <xf numFmtId="0" fontId="21" fillId="0" borderId="24" xfId="68" applyFont="1" applyFill="1" applyBorder="1" applyAlignment="1" applyProtection="1">
      <alignment horizontal="center" vertical="center"/>
      <protection/>
    </xf>
    <xf numFmtId="0" fontId="28" fillId="0" borderId="21" xfId="68" applyFont="1" applyFill="1" applyBorder="1" applyAlignment="1" applyProtection="1">
      <alignment horizontal="center" vertical="center" textRotation="90"/>
      <protection/>
    </xf>
    <xf numFmtId="0" fontId="28" fillId="0" borderId="30" xfId="68" applyFont="1" applyFill="1" applyBorder="1" applyAlignment="1" applyProtection="1">
      <alignment horizontal="center" vertical="center" textRotation="90"/>
      <protection/>
    </xf>
    <xf numFmtId="49" fontId="27" fillId="0" borderId="70" xfId="68" applyNumberFormat="1" applyFont="1" applyFill="1" applyBorder="1" applyAlignment="1" applyProtection="1">
      <alignment horizontal="center" vertical="center" wrapText="1"/>
      <protection/>
    </xf>
    <xf numFmtId="49" fontId="27" fillId="0" borderId="71" xfId="68" applyNumberFormat="1" applyFont="1" applyFill="1" applyBorder="1" applyAlignment="1" applyProtection="1">
      <alignment horizontal="center" vertical="center" wrapText="1"/>
      <protection/>
    </xf>
    <xf numFmtId="0" fontId="21" fillId="0" borderId="47" xfId="68" applyFont="1" applyFill="1" applyBorder="1" applyAlignment="1" applyProtection="1">
      <alignment horizontal="center" vertical="center"/>
      <protection/>
    </xf>
    <xf numFmtId="0" fontId="26" fillId="0" borderId="42" xfId="68" applyFont="1" applyFill="1" applyBorder="1" applyAlignment="1" applyProtection="1">
      <alignment horizontal="left" wrapText="1"/>
      <protection locked="0"/>
    </xf>
    <xf numFmtId="0" fontId="31" fillId="0" borderId="0" xfId="68" applyFont="1" applyFill="1" applyBorder="1" applyAlignment="1" applyProtection="1">
      <alignment horizontal="left"/>
      <protection locked="0"/>
    </xf>
    <xf numFmtId="0" fontId="36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2" fillId="0" borderId="41" xfId="68" applyFont="1" applyFill="1" applyBorder="1" applyAlignment="1" applyProtection="1">
      <alignment horizontal="left" wrapText="1"/>
      <protection locked="0"/>
    </xf>
    <xf numFmtId="0" fontId="31" fillId="0" borderId="0" xfId="68" applyFont="1" applyFill="1" applyAlignment="1" applyProtection="1">
      <alignment horizontal="left" wrapText="1"/>
      <protection/>
    </xf>
    <xf numFmtId="0" fontId="26" fillId="0" borderId="41" xfId="68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42" fillId="0" borderId="72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73" xfId="0" applyFont="1" applyFill="1" applyBorder="1" applyAlignment="1" applyProtection="1">
      <alignment horizontal="center" vertical="center"/>
      <protection/>
    </xf>
    <xf numFmtId="0" fontId="36" fillId="0" borderId="74" xfId="0" applyFont="1" applyFill="1" applyBorder="1" applyAlignment="1" applyProtection="1">
      <alignment horizontal="right" vertical="center"/>
      <protection/>
    </xf>
    <xf numFmtId="0" fontId="36" fillId="0" borderId="75" xfId="0" applyFont="1" applyFill="1" applyBorder="1" applyAlignment="1" applyProtection="1">
      <alignment horizontal="right" vertical="center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36" fillId="0" borderId="67" xfId="0" applyNumberFormat="1" applyFont="1" applyFill="1" applyBorder="1" applyAlignment="1" applyProtection="1">
      <alignment horizontal="center" vertical="center"/>
      <protection/>
    </xf>
    <xf numFmtId="0" fontId="36" fillId="0" borderId="44" xfId="0" applyNumberFormat="1" applyFont="1" applyFill="1" applyBorder="1" applyAlignment="1" applyProtection="1">
      <alignment horizontal="center" vertical="center"/>
      <protection/>
    </xf>
    <xf numFmtId="0" fontId="36" fillId="0" borderId="72" xfId="0" applyFont="1" applyFill="1" applyBorder="1" applyAlignment="1" applyProtection="1">
      <alignment horizontal="right" vertical="center"/>
      <protection/>
    </xf>
    <xf numFmtId="0" fontId="36" fillId="0" borderId="73" xfId="0" applyFont="1" applyFill="1" applyBorder="1" applyAlignment="1" applyProtection="1">
      <alignment horizontal="right" vertical="center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1" fontId="35" fillId="0" borderId="72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73" xfId="0" applyNumberFormat="1" applyFont="1" applyFill="1" applyBorder="1" applyAlignment="1" applyProtection="1">
      <alignment horizontal="right" vertical="center"/>
      <protection/>
    </xf>
    <xf numFmtId="1" fontId="35" fillId="0" borderId="77" xfId="0" applyNumberFormat="1" applyFont="1" applyFill="1" applyBorder="1" applyAlignment="1" applyProtection="1">
      <alignment horizontal="center" vertical="center" textRotation="90"/>
      <protection/>
    </xf>
    <xf numFmtId="1" fontId="35" fillId="0" borderId="78" xfId="0" applyNumberFormat="1" applyFont="1" applyFill="1" applyBorder="1" applyAlignment="1" applyProtection="1">
      <alignment horizontal="center" vertical="center" textRotation="90"/>
      <protection/>
    </xf>
    <xf numFmtId="1" fontId="35" fillId="0" borderId="79" xfId="0" applyNumberFormat="1" applyFont="1" applyFill="1" applyBorder="1" applyAlignment="1" applyProtection="1">
      <alignment horizontal="center" vertical="center" textRotation="90"/>
      <protection/>
    </xf>
    <xf numFmtId="1" fontId="42" fillId="0" borderId="72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73" xfId="0" applyNumberFormat="1" applyFont="1" applyFill="1" applyBorder="1" applyAlignment="1" applyProtection="1">
      <alignment horizontal="left" vertical="center"/>
      <protection/>
    </xf>
    <xf numFmtId="0" fontId="36" fillId="0" borderId="74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56" xfId="0" applyFont="1" applyFill="1" applyBorder="1" applyAlignment="1" applyProtection="1">
      <alignment horizontal="center" vertical="center"/>
      <protection/>
    </xf>
    <xf numFmtId="0" fontId="42" fillId="0" borderId="45" xfId="0" applyFont="1" applyFill="1" applyBorder="1" applyAlignment="1" applyProtection="1">
      <alignment horizontal="center" vertical="center"/>
      <protection/>
    </xf>
    <xf numFmtId="0" fontId="42" fillId="0" borderId="46" xfId="0" applyFont="1" applyFill="1" applyBorder="1" applyAlignment="1" applyProtection="1">
      <alignment horizontal="center" vertical="center"/>
      <protection/>
    </xf>
    <xf numFmtId="0" fontId="42" fillId="0" borderId="80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3" fillId="0" borderId="81" xfId="69" applyFont="1" applyFill="1" applyBorder="1" applyAlignment="1" applyProtection="1">
      <alignment horizontal="center" vertical="center" wrapText="1"/>
      <protection/>
    </xf>
    <xf numFmtId="0" fontId="23" fillId="0" borderId="28" xfId="69" applyFont="1" applyFill="1" applyBorder="1" applyAlignment="1" applyProtection="1">
      <alignment horizontal="center" vertical="center" wrapText="1"/>
      <protection/>
    </xf>
    <xf numFmtId="0" fontId="23" fillId="0" borderId="29" xfId="69" applyFont="1" applyFill="1" applyBorder="1" applyAlignment="1" applyProtection="1">
      <alignment horizontal="center" vertical="center" wrapText="1"/>
      <protection/>
    </xf>
    <xf numFmtId="0" fontId="42" fillId="0" borderId="72" xfId="69" applyFont="1" applyFill="1" applyBorder="1" applyAlignment="1" applyProtection="1">
      <alignment horizontal="center" vertical="center" wrapText="1"/>
      <protection/>
    </xf>
    <xf numFmtId="0" fontId="42" fillId="0" borderId="16" xfId="69" applyFont="1" applyFill="1" applyBorder="1" applyAlignment="1" applyProtection="1">
      <alignment horizontal="center" vertical="center" wrapText="1"/>
      <protection/>
    </xf>
    <xf numFmtId="0" fontId="42" fillId="0" borderId="73" xfId="69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 textRotation="90"/>
      <protection/>
    </xf>
    <xf numFmtId="0" fontId="21" fillId="0" borderId="18" xfId="0" applyFont="1" applyFill="1" applyBorder="1" applyAlignment="1" applyProtection="1">
      <alignment horizontal="center" vertical="center" textRotation="90"/>
      <protection/>
    </xf>
    <xf numFmtId="0" fontId="35" fillId="0" borderId="44" xfId="0" applyNumberFormat="1" applyFont="1" applyFill="1" applyBorder="1" applyAlignment="1" applyProtection="1">
      <alignment horizontal="center" vertical="center"/>
      <protection/>
    </xf>
    <xf numFmtId="0" fontId="35" fillId="0" borderId="76" xfId="0" applyNumberFormat="1" applyFont="1" applyFill="1" applyBorder="1" applyAlignment="1" applyProtection="1">
      <alignment horizontal="center" vertical="center"/>
      <protection/>
    </xf>
    <xf numFmtId="0" fontId="35" fillId="0" borderId="67" xfId="0" applyNumberFormat="1" applyFont="1" applyFill="1" applyBorder="1" applyAlignment="1" applyProtection="1">
      <alignment horizontal="center" vertical="center"/>
      <protection/>
    </xf>
    <xf numFmtId="0" fontId="23" fillId="0" borderId="72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7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36" fillId="0" borderId="72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73" xfId="0" applyNumberFormat="1" applyFont="1" applyFill="1" applyBorder="1" applyAlignment="1" applyProtection="1">
      <alignment horizontal="center" vertical="center"/>
      <protection/>
    </xf>
    <xf numFmtId="0" fontId="42" fillId="0" borderId="15" xfId="69" applyFont="1" applyFill="1" applyBorder="1" applyAlignment="1" applyProtection="1">
      <alignment horizontal="right" vertical="center" wrapText="1"/>
      <protection/>
    </xf>
    <xf numFmtId="0" fontId="42" fillId="0" borderId="82" xfId="0" applyFont="1" applyFill="1" applyBorder="1" applyAlignment="1" applyProtection="1">
      <alignment horizontal="center" vertical="center"/>
      <protection/>
    </xf>
    <xf numFmtId="0" fontId="42" fillId="0" borderId="42" xfId="0" applyFont="1" applyFill="1" applyBorder="1" applyAlignment="1" applyProtection="1">
      <alignment horizontal="center" vertical="center"/>
      <protection/>
    </xf>
    <xf numFmtId="0" fontId="42" fillId="0" borderId="83" xfId="0" applyFont="1" applyFill="1" applyBorder="1" applyAlignment="1" applyProtection="1">
      <alignment horizontal="center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45" fillId="0" borderId="72" xfId="69" applyNumberFormat="1" applyFont="1" applyFill="1" applyBorder="1" applyAlignment="1" applyProtection="1">
      <alignment horizontal="center" vertical="center" wrapText="1"/>
      <protection/>
    </xf>
    <xf numFmtId="0" fontId="45" fillId="0" borderId="16" xfId="69" applyNumberFormat="1" applyFont="1" applyFill="1" applyBorder="1" applyAlignment="1" applyProtection="1">
      <alignment horizontal="center" vertical="center" wrapText="1"/>
      <protection/>
    </xf>
    <xf numFmtId="0" fontId="45" fillId="0" borderId="73" xfId="69" applyNumberFormat="1" applyFont="1" applyFill="1" applyBorder="1" applyAlignment="1" applyProtection="1">
      <alignment horizontal="center" vertical="center" wrapText="1"/>
      <protection/>
    </xf>
    <xf numFmtId="0" fontId="23" fillId="0" borderId="84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85" xfId="0" applyFont="1" applyFill="1" applyBorder="1" applyAlignment="1" applyProtection="1">
      <alignment horizontal="center" vertical="center"/>
      <protection/>
    </xf>
    <xf numFmtId="0" fontId="42" fillId="28" borderId="72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73" xfId="0" applyFont="1" applyFill="1" applyBorder="1" applyAlignment="1" applyProtection="1">
      <alignment horizontal="center" vertical="center"/>
      <protection/>
    </xf>
    <xf numFmtId="0" fontId="36" fillId="28" borderId="72" xfId="0" applyFont="1" applyFill="1" applyBorder="1" applyAlignment="1" applyProtection="1">
      <alignment horizontal="right" vertical="center"/>
      <protection/>
    </xf>
    <xf numFmtId="0" fontId="36" fillId="28" borderId="73" xfId="0" applyFont="1" applyFill="1" applyBorder="1" applyAlignment="1" applyProtection="1">
      <alignment horizontal="right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31" fillId="0" borderId="7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justify" textRotation="90"/>
      <protection/>
    </xf>
    <xf numFmtId="0" fontId="2" fillId="0" borderId="20" xfId="0" applyFont="1" applyFill="1" applyBorder="1" applyAlignment="1" applyProtection="1">
      <alignment horizontal="center" vertical="justify" textRotation="90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9" xfId="0" applyNumberFormat="1" applyFont="1" applyFill="1" applyBorder="1" applyAlignment="1" applyProtection="1">
      <alignment horizontal="center" textRotation="90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9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6" xfId="0" applyFont="1" applyFill="1" applyBorder="1" applyAlignment="1" applyProtection="1">
      <alignment horizontal="center" textRotation="90"/>
      <protection/>
    </xf>
    <xf numFmtId="0" fontId="2" fillId="0" borderId="43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67" xfId="0" applyFont="1" applyFill="1" applyBorder="1" applyAlignment="1" applyProtection="1">
      <alignment horizontal="center" textRotation="90"/>
      <protection/>
    </xf>
    <xf numFmtId="0" fontId="2" fillId="0" borderId="19" xfId="0" applyFont="1" applyFill="1" applyBorder="1" applyAlignment="1" applyProtection="1">
      <alignment horizontal="center" textRotation="90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9" xfId="0" applyFont="1" applyFill="1" applyBorder="1" applyAlignment="1" applyProtection="1">
      <alignment horizontal="center" textRotation="90" wrapText="1"/>
      <protection/>
    </xf>
    <xf numFmtId="1" fontId="2" fillId="0" borderId="34" xfId="0" applyNumberFormat="1" applyFont="1" applyFill="1" applyBorder="1" applyAlignment="1" applyProtection="1">
      <alignment horizontal="center" textRotation="90" wrapText="1"/>
      <protection/>
    </xf>
    <xf numFmtId="1" fontId="2" fillId="0" borderId="86" xfId="0" applyNumberFormat="1" applyFont="1" applyFill="1" applyBorder="1" applyAlignment="1" applyProtection="1">
      <alignment horizontal="center" textRotation="90" wrapText="1"/>
      <protection/>
    </xf>
    <xf numFmtId="1" fontId="2" fillId="0" borderId="31" xfId="0" applyNumberFormat="1" applyFont="1" applyFill="1" applyBorder="1" applyAlignment="1" applyProtection="1">
      <alignment horizontal="center" textRotation="90" wrapText="1"/>
      <protection/>
    </xf>
    <xf numFmtId="0" fontId="21" fillId="0" borderId="72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1" fontId="21" fillId="0" borderId="35" xfId="0" applyNumberFormat="1" applyFont="1" applyFill="1" applyBorder="1" applyAlignment="1" applyProtection="1">
      <alignment horizontal="center" wrapText="1"/>
      <protection/>
    </xf>
    <xf numFmtId="1" fontId="21" fillId="0" borderId="42" xfId="0" applyNumberFormat="1" applyFont="1" applyFill="1" applyBorder="1" applyAlignment="1" applyProtection="1">
      <alignment horizontal="center" wrapText="1"/>
      <protection/>
    </xf>
    <xf numFmtId="1" fontId="21" fillId="0" borderId="43" xfId="0" applyNumberFormat="1" applyFont="1" applyFill="1" applyBorder="1" applyAlignment="1" applyProtection="1">
      <alignment horizontal="center" wrapText="1"/>
      <protection/>
    </xf>
    <xf numFmtId="1" fontId="2" fillId="0" borderId="26" xfId="0" applyNumberFormat="1" applyFont="1" applyFill="1" applyBorder="1" applyAlignment="1" applyProtection="1">
      <alignment horizontal="center" textRotation="90" wrapText="1"/>
      <protection/>
    </xf>
    <xf numFmtId="1" fontId="2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51" xfId="0" applyNumberFormat="1" applyFont="1" applyFill="1" applyBorder="1" applyAlignment="1" applyProtection="1">
      <alignment horizontal="center" textRotation="90" wrapText="1"/>
      <protection/>
    </xf>
    <xf numFmtId="1" fontId="2" fillId="0" borderId="87" xfId="0" applyNumberFormat="1" applyFont="1" applyFill="1" applyBorder="1" applyAlignment="1" applyProtection="1">
      <alignment horizontal="center" textRotation="90" wrapText="1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0" fontId="23" fillId="0" borderId="88" xfId="0" applyFont="1" applyFill="1" applyBorder="1" applyAlignment="1" applyProtection="1">
      <alignment horizontal="center" textRotation="90" wrapText="1"/>
      <protection/>
    </xf>
    <xf numFmtId="0" fontId="23" fillId="0" borderId="89" xfId="0" applyFont="1" applyFill="1" applyBorder="1" applyAlignment="1" applyProtection="1">
      <alignment horizontal="center" textRotation="90" wrapText="1"/>
      <protection/>
    </xf>
    <xf numFmtId="0" fontId="23" fillId="0" borderId="90" xfId="0" applyFont="1" applyFill="1" applyBorder="1" applyAlignment="1" applyProtection="1">
      <alignment horizontal="center" textRotation="90" wrapText="1"/>
      <protection/>
    </xf>
    <xf numFmtId="0" fontId="23" fillId="0" borderId="91" xfId="0" applyFont="1" applyFill="1" applyBorder="1" applyAlignment="1" applyProtection="1">
      <alignment horizontal="center" wrapText="1"/>
      <protection/>
    </xf>
    <xf numFmtId="0" fontId="23" fillId="0" borderId="92" xfId="0" applyFont="1" applyFill="1" applyBorder="1" applyAlignment="1" applyProtection="1">
      <alignment horizontal="center" wrapText="1"/>
      <protection/>
    </xf>
    <xf numFmtId="0" fontId="35" fillId="0" borderId="88" xfId="0" applyFont="1" applyFill="1" applyBorder="1" applyAlignment="1" applyProtection="1">
      <alignment horizontal="center" textRotation="90" wrapText="1"/>
      <protection/>
    </xf>
    <xf numFmtId="0" fontId="35" fillId="0" borderId="89" xfId="0" applyFont="1" applyFill="1" applyBorder="1" applyAlignment="1" applyProtection="1">
      <alignment horizontal="center" textRotation="90" wrapText="1"/>
      <protection/>
    </xf>
    <xf numFmtId="0" fontId="35" fillId="0" borderId="90" xfId="0" applyFont="1" applyFill="1" applyBorder="1" applyAlignment="1" applyProtection="1">
      <alignment horizontal="center" textRotation="90" wrapText="1"/>
      <protection/>
    </xf>
    <xf numFmtId="0" fontId="35" fillId="29" borderId="93" xfId="67" applyFont="1" applyFill="1" applyBorder="1" applyAlignment="1" applyProtection="1">
      <alignment horizontal="center" vertical="center" wrapText="1"/>
      <protection locked="0"/>
    </xf>
    <xf numFmtId="0" fontId="35" fillId="29" borderId="57" xfId="67" applyFont="1" applyFill="1" applyBorder="1" applyAlignment="1" applyProtection="1">
      <alignment horizontal="center" vertical="center" wrapText="1"/>
      <protection locked="0"/>
    </xf>
    <xf numFmtId="0" fontId="23" fillId="0" borderId="94" xfId="0" applyFont="1" applyFill="1" applyBorder="1" applyAlignment="1" applyProtection="1">
      <alignment horizontal="center" wrapText="1"/>
      <protection/>
    </xf>
    <xf numFmtId="0" fontId="23" fillId="0" borderId="95" xfId="0" applyFont="1" applyFill="1" applyBorder="1" applyAlignment="1" applyProtection="1">
      <alignment horizontal="center" wrapText="1"/>
      <protection/>
    </xf>
    <xf numFmtId="0" fontId="35" fillId="0" borderId="96" xfId="0" applyFont="1" applyFill="1" applyBorder="1" applyAlignment="1" applyProtection="1">
      <alignment horizontal="center" vertical="center" textRotation="90" wrapText="1"/>
      <protection locked="0"/>
    </xf>
    <xf numFmtId="0" fontId="35" fillId="0" borderId="97" xfId="0" applyFont="1" applyFill="1" applyBorder="1" applyAlignment="1" applyProtection="1">
      <alignment horizontal="center" vertical="center" textRotation="90" wrapText="1"/>
      <protection locked="0"/>
    </xf>
    <xf numFmtId="0" fontId="35" fillId="0" borderId="98" xfId="0" applyFont="1" applyFill="1" applyBorder="1" applyAlignment="1" applyProtection="1">
      <alignment horizontal="center" vertical="center" textRotation="90" wrapText="1"/>
      <protection locked="0"/>
    </xf>
    <xf numFmtId="0" fontId="35" fillId="0" borderId="99" xfId="0" applyFont="1" applyFill="1" applyBorder="1" applyAlignment="1" applyProtection="1">
      <alignment horizontal="center" textRotation="90" wrapText="1"/>
      <protection/>
    </xf>
    <xf numFmtId="0" fontId="35" fillId="0" borderId="100" xfId="0" applyFont="1" applyFill="1" applyBorder="1" applyAlignment="1" applyProtection="1">
      <alignment horizontal="center" textRotation="90" wrapText="1"/>
      <protection/>
    </xf>
    <xf numFmtId="0" fontId="35" fillId="0" borderId="101" xfId="0" applyFont="1" applyFill="1" applyBorder="1" applyAlignment="1" applyProtection="1">
      <alignment horizontal="center" textRotation="90" wrapText="1"/>
      <protection/>
    </xf>
    <xf numFmtId="0" fontId="23" fillId="0" borderId="102" xfId="0" applyFont="1" applyFill="1" applyBorder="1" applyAlignment="1" applyProtection="1">
      <alignment horizontal="center" textRotation="90" wrapText="1"/>
      <protection/>
    </xf>
    <xf numFmtId="0" fontId="23" fillId="0" borderId="103" xfId="0" applyFont="1" applyFill="1" applyBorder="1" applyAlignment="1" applyProtection="1">
      <alignment horizontal="center" textRotation="90" wrapText="1"/>
      <protection/>
    </xf>
    <xf numFmtId="0" fontId="35" fillId="0" borderId="57" xfId="67" applyFont="1" applyFill="1" applyBorder="1" applyAlignment="1" applyProtection="1">
      <alignment horizontal="right" vertical="center" wrapText="1"/>
      <protection locked="0"/>
    </xf>
    <xf numFmtId="0" fontId="35" fillId="0" borderId="104" xfId="0" applyFont="1" applyFill="1" applyBorder="1" applyAlignment="1" applyProtection="1">
      <alignment horizontal="right" wrapText="1"/>
      <protection/>
    </xf>
    <xf numFmtId="0" fontId="35" fillId="0" borderId="105" xfId="0" applyFont="1" applyFill="1" applyBorder="1" applyAlignment="1" applyProtection="1">
      <alignment horizontal="right" wrapText="1"/>
      <protection/>
    </xf>
    <xf numFmtId="0" fontId="23" fillId="0" borderId="106" xfId="0" applyFont="1" applyFill="1" applyBorder="1" applyAlignment="1" applyProtection="1">
      <alignment horizontal="center" vertical="center" textRotation="90" wrapText="1"/>
      <protection/>
    </xf>
    <xf numFmtId="0" fontId="23" fillId="0" borderId="107" xfId="0" applyFont="1" applyFill="1" applyBorder="1" applyAlignment="1" applyProtection="1">
      <alignment horizontal="center" vertical="center" textRotation="90" wrapText="1"/>
      <protection/>
    </xf>
    <xf numFmtId="0" fontId="23" fillId="0" borderId="60" xfId="0" applyFont="1" applyFill="1" applyBorder="1" applyAlignment="1" applyProtection="1">
      <alignment horizontal="center" vertical="center" textRotation="90" wrapText="1"/>
      <protection/>
    </xf>
    <xf numFmtId="0" fontId="35" fillId="0" borderId="108" xfId="0" applyFont="1" applyFill="1" applyBorder="1" applyAlignment="1" applyProtection="1">
      <alignment horizontal="center" vertical="center" wrapText="1"/>
      <protection/>
    </xf>
    <xf numFmtId="0" fontId="35" fillId="0" borderId="109" xfId="0" applyFont="1" applyFill="1" applyBorder="1" applyAlignment="1" applyProtection="1">
      <alignment horizontal="center" vertical="center" wrapText="1"/>
      <protection/>
    </xf>
    <xf numFmtId="0" fontId="35" fillId="0" borderId="103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" fontId="23" fillId="0" borderId="19" xfId="69" applyNumberFormat="1" applyFont="1" applyFill="1" applyBorder="1" applyAlignment="1" applyProtection="1">
      <alignment horizontal="center" vertical="center" wrapText="1"/>
      <protection/>
    </xf>
    <xf numFmtId="1" fontId="23" fillId="0" borderId="20" xfId="69" applyNumberFormat="1" applyFont="1" applyFill="1" applyBorder="1" applyAlignment="1" applyProtection="1">
      <alignment horizontal="center" vertical="center" wrapText="1"/>
      <protection/>
    </xf>
    <xf numFmtId="49" fontId="25" fillId="0" borderId="0" xfId="7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69" applyFont="1" applyFill="1" applyAlignment="1" applyProtection="1">
      <alignment horizontal="center"/>
      <protection locked="0"/>
    </xf>
    <xf numFmtId="0" fontId="23" fillId="0" borderId="26" xfId="69" applyFont="1" applyFill="1" applyBorder="1" applyAlignment="1" applyProtection="1">
      <alignment horizontal="center" vertical="center" wrapText="1"/>
      <protection/>
    </xf>
    <xf numFmtId="0" fontId="23" fillId="0" borderId="14" xfId="69" applyFont="1" applyFill="1" applyBorder="1" applyAlignment="1" applyProtection="1">
      <alignment horizontal="center" vertical="center" wrapText="1"/>
      <protection/>
    </xf>
    <xf numFmtId="0" fontId="35" fillId="0" borderId="14" xfId="69" applyFont="1" applyFill="1" applyBorder="1" applyAlignment="1" applyProtection="1">
      <alignment horizontal="center" vertical="center"/>
      <protection/>
    </xf>
    <xf numFmtId="0" fontId="35" fillId="0" borderId="27" xfId="69" applyFont="1" applyFill="1" applyBorder="1" applyAlignment="1" applyProtection="1">
      <alignment horizontal="center" vertical="center"/>
      <protection/>
    </xf>
    <xf numFmtId="0" fontId="23" fillId="0" borderId="26" xfId="69" applyFont="1" applyFill="1" applyBorder="1" applyAlignment="1" applyProtection="1">
      <alignment horizontal="center" vertical="center"/>
      <protection/>
    </xf>
    <xf numFmtId="0" fontId="23" fillId="0" borderId="14" xfId="69" applyFont="1" applyFill="1" applyBorder="1" applyAlignment="1" applyProtection="1">
      <alignment horizontal="center" vertical="center"/>
      <protection/>
    </xf>
    <xf numFmtId="198" fontId="35" fillId="0" borderId="14" xfId="69" applyNumberFormat="1" applyFont="1" applyFill="1" applyBorder="1" applyAlignment="1" applyProtection="1">
      <alignment horizontal="center" vertical="center"/>
      <protection/>
    </xf>
    <xf numFmtId="198" fontId="35" fillId="0" borderId="27" xfId="69" applyNumberFormat="1" applyFont="1" applyFill="1" applyBorder="1" applyAlignment="1" applyProtection="1">
      <alignment horizontal="center" vertical="center"/>
      <protection/>
    </xf>
    <xf numFmtId="0" fontId="23" fillId="0" borderId="82" xfId="69" applyFont="1" applyFill="1" applyBorder="1" applyAlignment="1" applyProtection="1">
      <alignment horizontal="center" vertical="center" wrapText="1"/>
      <protection/>
    </xf>
    <xf numFmtId="0" fontId="23" fillId="0" borderId="42" xfId="69" applyFont="1" applyFill="1" applyBorder="1" applyAlignment="1" applyProtection="1">
      <alignment horizontal="center" vertical="center" wrapText="1"/>
      <protection/>
    </xf>
    <xf numFmtId="0" fontId="23" fillId="0" borderId="43" xfId="69" applyFont="1" applyFill="1" applyBorder="1" applyAlignment="1" applyProtection="1">
      <alignment horizontal="center" vertical="center" wrapText="1"/>
      <protection/>
    </xf>
    <xf numFmtId="0" fontId="23" fillId="0" borderId="18" xfId="69" applyFont="1" applyFill="1" applyBorder="1" applyAlignment="1" applyProtection="1">
      <alignment horizontal="center" vertical="center" wrapText="1"/>
      <protection/>
    </xf>
    <xf numFmtId="0" fontId="23" fillId="0" borderId="19" xfId="69" applyFont="1" applyFill="1" applyBorder="1" applyAlignment="1" applyProtection="1">
      <alignment horizontal="center" vertical="center" wrapText="1"/>
      <protection/>
    </xf>
    <xf numFmtId="0" fontId="35" fillId="0" borderId="19" xfId="69" applyFont="1" applyFill="1" applyBorder="1" applyAlignment="1" applyProtection="1">
      <alignment horizontal="center" vertical="center"/>
      <protection/>
    </xf>
    <xf numFmtId="0" fontId="35" fillId="0" borderId="20" xfId="69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49" fontId="23" fillId="0" borderId="23" xfId="69" applyNumberFormat="1" applyFont="1" applyFill="1" applyBorder="1" applyAlignment="1" applyProtection="1">
      <alignment horizontal="center" vertical="center" wrapText="1"/>
      <protection/>
    </xf>
    <xf numFmtId="49" fontId="23" fillId="0" borderId="24" xfId="69" applyNumberFormat="1" applyFont="1" applyFill="1" applyBorder="1" applyAlignment="1" applyProtection="1">
      <alignment horizontal="center" vertical="center" wrapText="1"/>
      <protection/>
    </xf>
    <xf numFmtId="1" fontId="35" fillId="0" borderId="14" xfId="69" applyNumberFormat="1" applyFont="1" applyFill="1" applyBorder="1" applyAlignment="1" applyProtection="1">
      <alignment horizontal="center" vertical="center" wrapText="1"/>
      <protection/>
    </xf>
    <xf numFmtId="1" fontId="35" fillId="0" borderId="27" xfId="69" applyNumberFormat="1" applyFont="1" applyFill="1" applyBorder="1" applyAlignment="1" applyProtection="1">
      <alignment horizontal="center" vertical="center" wrapText="1"/>
      <protection/>
    </xf>
    <xf numFmtId="1" fontId="23" fillId="0" borderId="14" xfId="69" applyNumberFormat="1" applyFont="1" applyFill="1" applyBorder="1" applyAlignment="1" applyProtection="1">
      <alignment horizontal="center" vertical="center" wrapText="1"/>
      <protection/>
    </xf>
    <xf numFmtId="1" fontId="23" fillId="0" borderId="27" xfId="69" applyNumberFormat="1" applyFont="1" applyFill="1" applyBorder="1" applyAlignment="1" applyProtection="1">
      <alignment horizontal="center" vertical="center" wrapText="1"/>
      <protection/>
    </xf>
    <xf numFmtId="0" fontId="29" fillId="0" borderId="33" xfId="69" applyFont="1" applyFill="1" applyBorder="1" applyAlignment="1" applyProtection="1">
      <alignment horizontal="left" vertical="center"/>
      <protection/>
    </xf>
    <xf numFmtId="0" fontId="23" fillId="0" borderId="22" xfId="69" applyFont="1" applyFill="1" applyBorder="1" applyAlignment="1" applyProtection="1">
      <alignment horizontal="center" vertical="center" wrapText="1"/>
      <protection/>
    </xf>
    <xf numFmtId="0" fontId="23" fillId="0" borderId="23" xfId="69" applyFont="1" applyFill="1" applyBorder="1" applyAlignment="1" applyProtection="1">
      <alignment horizontal="center" vertical="center" wrapText="1"/>
      <protection/>
    </xf>
    <xf numFmtId="1" fontId="23" fillId="0" borderId="35" xfId="69" applyNumberFormat="1" applyFont="1" applyFill="1" applyBorder="1" applyAlignment="1" applyProtection="1">
      <alignment horizontal="center" vertical="center" wrapText="1"/>
      <protection/>
    </xf>
    <xf numFmtId="1" fontId="23" fillId="0" borderId="83" xfId="69" applyNumberFormat="1" applyFont="1" applyFill="1" applyBorder="1" applyAlignment="1" applyProtection="1">
      <alignment horizontal="center" vertical="center" wrapText="1"/>
      <protection/>
    </xf>
    <xf numFmtId="0" fontId="25" fillId="0" borderId="0" xfId="69" applyFont="1" applyFill="1" applyAlignment="1" applyProtection="1">
      <alignment horizontal="left" wrapText="1"/>
      <protection locked="0"/>
    </xf>
    <xf numFmtId="0" fontId="25" fillId="0" borderId="0" xfId="69" applyFont="1" applyFill="1" applyAlignment="1" applyProtection="1">
      <alignment horizontal="center" wrapText="1"/>
      <protection locked="0"/>
    </xf>
    <xf numFmtId="0" fontId="2" fillId="0" borderId="33" xfId="70" applyFont="1" applyFill="1" applyBorder="1" applyAlignment="1" applyProtection="1">
      <alignment horizontal="left" vertical="top"/>
      <protection/>
    </xf>
    <xf numFmtId="0" fontId="30" fillId="0" borderId="22" xfId="69" applyFont="1" applyFill="1" applyBorder="1" applyAlignment="1" applyProtection="1">
      <alignment horizontal="center" vertical="center" wrapText="1"/>
      <protection/>
    </xf>
    <xf numFmtId="0" fontId="30" fillId="0" borderId="26" xfId="69" applyFont="1" applyFill="1" applyBorder="1" applyAlignment="1" applyProtection="1">
      <alignment horizontal="center" vertical="center" wrapText="1"/>
      <protection/>
    </xf>
    <xf numFmtId="0" fontId="22" fillId="0" borderId="23" xfId="69" applyFont="1" applyFill="1" applyBorder="1" applyAlignment="1" applyProtection="1">
      <alignment horizontal="center" vertical="center" wrapText="1"/>
      <protection/>
    </xf>
    <xf numFmtId="0" fontId="22" fillId="0" borderId="14" xfId="69" applyFont="1" applyFill="1" applyBorder="1" applyAlignment="1" applyProtection="1">
      <alignment horizontal="center" vertical="center" wrapText="1"/>
      <protection/>
    </xf>
    <xf numFmtId="1" fontId="23" fillId="0" borderId="23" xfId="69" applyNumberFormat="1" applyFont="1" applyFill="1" applyBorder="1" applyAlignment="1" applyProtection="1">
      <alignment horizontal="center" vertical="center" textRotation="90" wrapText="1"/>
      <protection/>
    </xf>
    <xf numFmtId="1" fontId="23" fillId="0" borderId="14" xfId="69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24" xfId="69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2 2" xfId="42"/>
    <cellStyle name="Відсотковий 3" xfId="43"/>
    <cellStyle name="Вывод" xfId="44"/>
    <cellStyle name="Вычисление" xfId="45"/>
    <cellStyle name="Hyperlink" xfId="46"/>
    <cellStyle name="Гіперпосилання 2" xfId="47"/>
    <cellStyle name="Грошовий 2" xfId="48"/>
    <cellStyle name="Грошовий 2 2" xfId="49"/>
    <cellStyle name="Currency" xfId="50"/>
    <cellStyle name="Currency [0]" xfId="51"/>
    <cellStyle name="Добре" xfId="52"/>
    <cellStyle name="Заголовок 1" xfId="53"/>
    <cellStyle name="Заголовок 2" xfId="54"/>
    <cellStyle name="Заголовок 3" xfId="55"/>
    <cellStyle name="Заголовок 4" xfId="56"/>
    <cellStyle name="Звичайний 2" xfId="57"/>
    <cellStyle name="Звичайний 3" xfId="58"/>
    <cellStyle name="Звичайний 3 2" xfId="59"/>
    <cellStyle name="Зв'язана клітинка" xfId="60"/>
    <cellStyle name="Итог" xfId="61"/>
    <cellStyle name="Контрольна клітинка" xfId="62"/>
    <cellStyle name="Контрольная ячейка" xfId="63"/>
    <cellStyle name="Назва" xfId="64"/>
    <cellStyle name="Название" xfId="65"/>
    <cellStyle name="Нейтральный" xfId="66"/>
    <cellStyle name="Обычный 4" xfId="67"/>
    <cellStyle name="Обычный_b_g_new_spets_07_12_3" xfId="68"/>
    <cellStyle name="Обычный_b_z_05_03v" xfId="69"/>
    <cellStyle name="Обычный_Зразок плану  blank plan_dod1_dfn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ередній" xfId="77"/>
    <cellStyle name="Текст попередження" xfId="78"/>
    <cellStyle name="Текст предупреждения" xfId="79"/>
    <cellStyle name="Comma" xfId="80"/>
    <cellStyle name="Comma [0]" xfId="81"/>
    <cellStyle name="Хороший" xfId="82"/>
  </cellStyles>
  <dxfs count="46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647700</xdr:rowOff>
    </xdr:from>
    <xdr:to>
      <xdr:col>17</xdr:col>
      <xdr:colOff>219075</xdr:colOff>
      <xdr:row>13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19275"/>
          <a:ext cx="4981575" cy="394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57150</xdr:rowOff>
    </xdr:from>
    <xdr:to>
      <xdr:col>8</xdr:col>
      <xdr:colOff>400050</xdr:colOff>
      <xdr:row>14</xdr:row>
      <xdr:rowOff>38100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56007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14</xdr:row>
      <xdr:rowOff>28575</xdr:rowOff>
    </xdr:from>
    <xdr:to>
      <xdr:col>8</xdr:col>
      <xdr:colOff>619125</xdr:colOff>
      <xdr:row>56</xdr:row>
      <xdr:rowOff>28575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95525"/>
          <a:ext cx="5915025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23</xdr:row>
      <xdr:rowOff>95250</xdr:rowOff>
    </xdr:from>
    <xdr:to>
      <xdr:col>17</xdr:col>
      <xdr:colOff>619125</xdr:colOff>
      <xdr:row>48</xdr:row>
      <xdr:rowOff>114300</xdr:rowOff>
    </xdr:to>
    <xdr:pic>
      <xdr:nvPicPr>
        <xdr:cNvPr id="3" name="Рисунок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3819525"/>
          <a:ext cx="60293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</xdr:row>
      <xdr:rowOff>9525</xdr:rowOff>
    </xdr:from>
    <xdr:to>
      <xdr:col>17</xdr:col>
      <xdr:colOff>657225</xdr:colOff>
      <xdr:row>22</xdr:row>
      <xdr:rowOff>57150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71450"/>
          <a:ext cx="59817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5"/>
  <sheetViews>
    <sheetView showGridLines="0" zoomScale="85" zoomScaleNormal="85" zoomScalePageLayoutView="0" workbookViewId="0" topLeftCell="C7">
      <selection activeCell="A5" sqref="A5:BK5"/>
    </sheetView>
  </sheetViews>
  <sheetFormatPr defaultColWidth="8.875" defaultRowHeight="12.75"/>
  <cols>
    <col min="1" max="55" width="3.75390625" style="92" customWidth="1"/>
    <col min="56" max="63" width="7.75390625" style="92" customWidth="1"/>
    <col min="64" max="16384" width="8.875" style="92" customWidth="1"/>
  </cols>
  <sheetData>
    <row r="2" spans="1:63" ht="39.75" customHeight="1">
      <c r="A2" s="259" t="s">
        <v>85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</row>
    <row r="3" spans="1:63" ht="39.75" customHeight="1">
      <c r="A3" s="259" t="s">
        <v>84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</row>
    <row r="4" spans="1:63" s="164" customFormat="1" ht="60" customHeight="1">
      <c r="A4" s="256" t="s">
        <v>17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</row>
    <row r="5" spans="1:63" s="164" customFormat="1" ht="30" customHeight="1">
      <c r="A5" s="257" t="s">
        <v>92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</row>
    <row r="6" s="164" customFormat="1" ht="19.5" customHeight="1"/>
    <row r="7" spans="19:63" s="164" customFormat="1" ht="30" customHeight="1">
      <c r="S7" s="247" t="s">
        <v>86</v>
      </c>
      <c r="T7" s="247"/>
      <c r="U7" s="247"/>
      <c r="V7" s="247"/>
      <c r="W7" s="247"/>
      <c r="X7" s="247"/>
      <c r="Y7" s="247"/>
      <c r="Z7" s="247"/>
      <c r="AA7" s="247"/>
      <c r="AB7" s="248" t="s">
        <v>106</v>
      </c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X7" s="247" t="s">
        <v>16</v>
      </c>
      <c r="AY7" s="247"/>
      <c r="AZ7" s="247"/>
      <c r="BA7" s="247"/>
      <c r="BB7" s="247"/>
      <c r="BC7" s="247"/>
      <c r="BD7" s="247"/>
      <c r="BE7" s="247"/>
      <c r="BF7" s="248" t="s">
        <v>112</v>
      </c>
      <c r="BG7" s="248"/>
      <c r="BH7" s="248"/>
      <c r="BI7" s="248"/>
      <c r="BJ7" s="248"/>
      <c r="BK7" s="248"/>
    </row>
    <row r="8" spans="19:63" s="164" customFormat="1" ht="30" customHeight="1">
      <c r="S8" s="247" t="s">
        <v>87</v>
      </c>
      <c r="T8" s="247"/>
      <c r="U8" s="247"/>
      <c r="V8" s="247"/>
      <c r="W8" s="247"/>
      <c r="X8" s="247"/>
      <c r="Y8" s="247"/>
      <c r="Z8" s="247"/>
      <c r="AA8" s="247"/>
      <c r="AB8" s="248" t="s">
        <v>107</v>
      </c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X8" s="247" t="s">
        <v>91</v>
      </c>
      <c r="AY8" s="247"/>
      <c r="AZ8" s="247"/>
      <c r="BA8" s="247"/>
      <c r="BB8" s="247"/>
      <c r="BC8" s="247"/>
      <c r="BD8" s="247"/>
      <c r="BE8" s="247"/>
      <c r="BF8" s="249" t="s">
        <v>108</v>
      </c>
      <c r="BG8" s="249"/>
      <c r="BH8" s="249"/>
      <c r="BI8" s="249"/>
      <c r="BJ8" s="249"/>
      <c r="BK8" s="249"/>
    </row>
    <row r="9" spans="19:63" s="164" customFormat="1" ht="34.5" customHeight="1">
      <c r="S9" s="274" t="s">
        <v>158</v>
      </c>
      <c r="T9" s="247"/>
      <c r="U9" s="247"/>
      <c r="V9" s="247"/>
      <c r="W9" s="247"/>
      <c r="X9" s="247"/>
      <c r="Y9" s="247"/>
      <c r="Z9" s="247"/>
      <c r="AA9" s="247"/>
      <c r="AB9" s="275" t="s">
        <v>273</v>
      </c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X9" s="247" t="s">
        <v>89</v>
      </c>
      <c r="AY9" s="247"/>
      <c r="AZ9" s="247"/>
      <c r="BA9" s="247"/>
      <c r="BB9" s="247"/>
      <c r="BC9" s="247"/>
      <c r="BD9" s="247"/>
      <c r="BE9" s="247"/>
      <c r="BF9" s="250" t="s">
        <v>109</v>
      </c>
      <c r="BG9" s="250"/>
      <c r="BH9" s="250"/>
      <c r="BI9" s="250"/>
      <c r="BJ9" s="250"/>
      <c r="BK9" s="250"/>
    </row>
    <row r="10" spans="19:63" s="164" customFormat="1" ht="30" customHeight="1">
      <c r="S10" s="247" t="s">
        <v>88</v>
      </c>
      <c r="T10" s="247"/>
      <c r="U10" s="247"/>
      <c r="V10" s="247"/>
      <c r="W10" s="247"/>
      <c r="X10" s="247"/>
      <c r="Y10" s="247"/>
      <c r="Z10" s="247"/>
      <c r="AA10" s="247"/>
      <c r="AB10" s="250" t="s">
        <v>274</v>
      </c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X10" s="247" t="s">
        <v>90</v>
      </c>
      <c r="AY10" s="247"/>
      <c r="AZ10" s="247"/>
      <c r="BA10" s="247"/>
      <c r="BB10" s="247"/>
      <c r="BC10" s="247"/>
      <c r="BD10" s="247"/>
      <c r="BE10" s="247"/>
      <c r="BF10" s="249" t="s">
        <v>110</v>
      </c>
      <c r="BG10" s="249"/>
      <c r="BH10" s="249"/>
      <c r="BI10" s="249"/>
      <c r="BJ10" s="249"/>
      <c r="BK10" s="249"/>
    </row>
    <row r="11" spans="19:63" s="164" customFormat="1" ht="45" customHeight="1">
      <c r="S11" s="247" t="s">
        <v>235</v>
      </c>
      <c r="T11" s="247"/>
      <c r="U11" s="247"/>
      <c r="V11" s="247"/>
      <c r="W11" s="247"/>
      <c r="X11" s="247"/>
      <c r="Y11" s="247"/>
      <c r="Z11" s="247"/>
      <c r="AA11" s="247"/>
      <c r="AB11" s="273" t="s">
        <v>275</v>
      </c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65"/>
      <c r="AW11" s="65"/>
      <c r="AX11" s="270" t="s">
        <v>236</v>
      </c>
      <c r="AY11" s="270"/>
      <c r="AZ11" s="270"/>
      <c r="BA11" s="270"/>
      <c r="BB11" s="270"/>
      <c r="BC11" s="270"/>
      <c r="BD11" s="270"/>
      <c r="BE11" s="270"/>
      <c r="BF11" s="250">
        <v>2023</v>
      </c>
      <c r="BG11" s="250"/>
      <c r="BH11" s="250"/>
      <c r="BI11" s="250"/>
      <c r="BJ11" s="250"/>
      <c r="BK11" s="250"/>
    </row>
    <row r="12" spans="19:63" ht="63" customHeight="1">
      <c r="S12" s="247" t="s">
        <v>237</v>
      </c>
      <c r="T12" s="247"/>
      <c r="U12" s="247"/>
      <c r="V12" s="247"/>
      <c r="W12" s="247"/>
      <c r="X12" s="247"/>
      <c r="Y12" s="247"/>
      <c r="Z12" s="247"/>
      <c r="AA12" s="247"/>
      <c r="AB12" s="269" t="s">
        <v>276</v>
      </c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65"/>
      <c r="AW12" s="65"/>
      <c r="AX12" s="270" t="s">
        <v>238</v>
      </c>
      <c r="AY12" s="270"/>
      <c r="AZ12" s="270"/>
      <c r="BA12" s="270"/>
      <c r="BB12" s="270"/>
      <c r="BC12" s="270"/>
      <c r="BD12" s="270"/>
      <c r="BE12" s="270"/>
      <c r="BF12" s="218" t="s">
        <v>239</v>
      </c>
      <c r="BG12" s="218" t="s">
        <v>240</v>
      </c>
      <c r="BH12" s="218" t="s">
        <v>248</v>
      </c>
      <c r="BI12" s="218" t="s">
        <v>271</v>
      </c>
      <c r="BJ12" s="219"/>
      <c r="BK12" s="219"/>
    </row>
    <row r="13" spans="19:63" ht="19.5" customHeight="1">
      <c r="S13" s="165"/>
      <c r="T13" s="165"/>
      <c r="U13" s="165"/>
      <c r="V13" s="165"/>
      <c r="W13" s="165"/>
      <c r="X13" s="165"/>
      <c r="Y13" s="165"/>
      <c r="Z13" s="165"/>
      <c r="AA13" s="165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X13" s="168"/>
      <c r="AY13" s="168"/>
      <c r="AZ13" s="168"/>
      <c r="BA13" s="168"/>
      <c r="BB13" s="168"/>
      <c r="BC13" s="168"/>
      <c r="BD13" s="168"/>
      <c r="BE13" s="168"/>
      <c r="BF13" s="169"/>
      <c r="BG13" s="169"/>
      <c r="BH13" s="169"/>
      <c r="BI13" s="169"/>
      <c r="BJ13" s="169"/>
      <c r="BK13" s="169"/>
    </row>
    <row r="14" spans="1:63" ht="30" customHeight="1">
      <c r="A14" s="272" t="s">
        <v>18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C14" s="271" t="s">
        <v>19</v>
      </c>
      <c r="BD14" s="271"/>
      <c r="BE14" s="271"/>
      <c r="BF14" s="271"/>
      <c r="BG14" s="271"/>
      <c r="BH14" s="271"/>
      <c r="BI14" s="271"/>
      <c r="BJ14" s="271"/>
      <c r="BK14" s="271"/>
    </row>
    <row r="15" ht="13.5" thickBot="1"/>
    <row r="16" spans="1:63" ht="24.75" customHeight="1">
      <c r="A16" s="264" t="s">
        <v>20</v>
      </c>
      <c r="B16" s="261" t="s">
        <v>32</v>
      </c>
      <c r="C16" s="262"/>
      <c r="D16" s="262"/>
      <c r="E16" s="263"/>
      <c r="F16" s="261" t="s">
        <v>21</v>
      </c>
      <c r="G16" s="262"/>
      <c r="H16" s="262"/>
      <c r="I16" s="263"/>
      <c r="J16" s="261" t="s">
        <v>22</v>
      </c>
      <c r="K16" s="262"/>
      <c r="L16" s="262"/>
      <c r="M16" s="262"/>
      <c r="N16" s="263"/>
      <c r="O16" s="261" t="s">
        <v>23</v>
      </c>
      <c r="P16" s="262"/>
      <c r="Q16" s="262"/>
      <c r="R16" s="263"/>
      <c r="S16" s="268" t="s">
        <v>24</v>
      </c>
      <c r="T16" s="262"/>
      <c r="U16" s="262"/>
      <c r="V16" s="262"/>
      <c r="W16" s="263"/>
      <c r="X16" s="261" t="s">
        <v>25</v>
      </c>
      <c r="Y16" s="262"/>
      <c r="Z16" s="262"/>
      <c r="AA16" s="263"/>
      <c r="AB16" s="261" t="s">
        <v>26</v>
      </c>
      <c r="AC16" s="262"/>
      <c r="AD16" s="262"/>
      <c r="AE16" s="263"/>
      <c r="AF16" s="261" t="s">
        <v>27</v>
      </c>
      <c r="AG16" s="262"/>
      <c r="AH16" s="262"/>
      <c r="AI16" s="262"/>
      <c r="AJ16" s="263"/>
      <c r="AK16" s="261" t="s">
        <v>28</v>
      </c>
      <c r="AL16" s="262"/>
      <c r="AM16" s="262"/>
      <c r="AN16" s="263"/>
      <c r="AO16" s="261" t="s">
        <v>29</v>
      </c>
      <c r="AP16" s="262"/>
      <c r="AQ16" s="262"/>
      <c r="AR16" s="262"/>
      <c r="AS16" s="263"/>
      <c r="AT16" s="261" t="s">
        <v>30</v>
      </c>
      <c r="AU16" s="262"/>
      <c r="AV16" s="262"/>
      <c r="AW16" s="263"/>
      <c r="AX16" s="261" t="s">
        <v>31</v>
      </c>
      <c r="AY16" s="262"/>
      <c r="AZ16" s="262"/>
      <c r="BA16" s="263"/>
      <c r="BB16" s="15"/>
      <c r="BC16" s="264" t="s">
        <v>20</v>
      </c>
      <c r="BD16" s="266" t="s">
        <v>33</v>
      </c>
      <c r="BE16" s="251" t="s">
        <v>78</v>
      </c>
      <c r="BF16" s="251" t="s">
        <v>79</v>
      </c>
      <c r="BG16" s="251" t="s">
        <v>80</v>
      </c>
      <c r="BH16" s="251" t="s">
        <v>81</v>
      </c>
      <c r="BI16" s="251" t="s">
        <v>82</v>
      </c>
      <c r="BJ16" s="251" t="s">
        <v>35</v>
      </c>
      <c r="BK16" s="253" t="s">
        <v>0</v>
      </c>
    </row>
    <row r="17" spans="1:63" ht="24.75" customHeight="1" thickBot="1">
      <c r="A17" s="265"/>
      <c r="B17" s="16">
        <v>1</v>
      </c>
      <c r="C17" s="17">
        <v>2</v>
      </c>
      <c r="D17" s="17">
        <v>3</v>
      </c>
      <c r="E17" s="18">
        <v>4</v>
      </c>
      <c r="F17" s="16">
        <v>5</v>
      </c>
      <c r="G17" s="17">
        <v>6</v>
      </c>
      <c r="H17" s="17">
        <v>7</v>
      </c>
      <c r="I17" s="17">
        <v>8</v>
      </c>
      <c r="J17" s="16">
        <v>9</v>
      </c>
      <c r="K17" s="17">
        <v>10</v>
      </c>
      <c r="L17" s="17">
        <v>11</v>
      </c>
      <c r="M17" s="17">
        <v>12</v>
      </c>
      <c r="N17" s="18">
        <v>13</v>
      </c>
      <c r="O17" s="16">
        <v>14</v>
      </c>
      <c r="P17" s="17">
        <v>15</v>
      </c>
      <c r="Q17" s="17">
        <v>16</v>
      </c>
      <c r="R17" s="18">
        <v>17</v>
      </c>
      <c r="S17" s="222">
        <v>18</v>
      </c>
      <c r="T17" s="17">
        <v>19</v>
      </c>
      <c r="U17" s="17">
        <v>20</v>
      </c>
      <c r="V17" s="17">
        <v>21</v>
      </c>
      <c r="W17" s="18">
        <v>22</v>
      </c>
      <c r="X17" s="16">
        <v>23</v>
      </c>
      <c r="Y17" s="17">
        <v>24</v>
      </c>
      <c r="Z17" s="17">
        <v>25</v>
      </c>
      <c r="AA17" s="18">
        <v>26</v>
      </c>
      <c r="AB17" s="16">
        <v>27</v>
      </c>
      <c r="AC17" s="17">
        <v>28</v>
      </c>
      <c r="AD17" s="17">
        <v>29</v>
      </c>
      <c r="AE17" s="18">
        <v>30</v>
      </c>
      <c r="AF17" s="16">
        <v>31</v>
      </c>
      <c r="AG17" s="17">
        <v>32</v>
      </c>
      <c r="AH17" s="17">
        <v>33</v>
      </c>
      <c r="AI17" s="17">
        <v>34</v>
      </c>
      <c r="AJ17" s="18">
        <v>35</v>
      </c>
      <c r="AK17" s="16">
        <v>36</v>
      </c>
      <c r="AL17" s="17">
        <v>37</v>
      </c>
      <c r="AM17" s="17">
        <v>38</v>
      </c>
      <c r="AN17" s="18">
        <v>39</v>
      </c>
      <c r="AO17" s="16">
        <v>40</v>
      </c>
      <c r="AP17" s="17">
        <v>41</v>
      </c>
      <c r="AQ17" s="17">
        <v>42</v>
      </c>
      <c r="AR17" s="17">
        <v>43</v>
      </c>
      <c r="AS17" s="18">
        <v>44</v>
      </c>
      <c r="AT17" s="16">
        <v>45</v>
      </c>
      <c r="AU17" s="17">
        <v>46</v>
      </c>
      <c r="AV17" s="17">
        <v>47</v>
      </c>
      <c r="AW17" s="18">
        <v>48</v>
      </c>
      <c r="AX17" s="16">
        <v>49</v>
      </c>
      <c r="AY17" s="17">
        <v>50</v>
      </c>
      <c r="AZ17" s="17">
        <v>51</v>
      </c>
      <c r="BA17" s="18">
        <v>52</v>
      </c>
      <c r="BB17" s="19"/>
      <c r="BC17" s="265"/>
      <c r="BD17" s="267"/>
      <c r="BE17" s="252"/>
      <c r="BF17" s="252"/>
      <c r="BG17" s="252"/>
      <c r="BH17" s="252"/>
      <c r="BI17" s="252"/>
      <c r="BJ17" s="252"/>
      <c r="BK17" s="254"/>
    </row>
    <row r="18" spans="1:63" ht="19.5" customHeight="1">
      <c r="A18" s="20" t="s">
        <v>36</v>
      </c>
      <c r="B18" s="170"/>
      <c r="C18" s="171"/>
      <c r="D18" s="171"/>
      <c r="E18" s="172"/>
      <c r="F18" s="170"/>
      <c r="G18" s="171"/>
      <c r="H18" s="171"/>
      <c r="I18" s="171"/>
      <c r="J18" s="170"/>
      <c r="K18" s="171"/>
      <c r="L18" s="171"/>
      <c r="M18" s="171"/>
      <c r="N18" s="172"/>
      <c r="O18" s="170"/>
      <c r="P18" s="171"/>
      <c r="Q18" s="22"/>
      <c r="R18" s="23"/>
      <c r="S18" s="223"/>
      <c r="T18" s="23" t="s">
        <v>40</v>
      </c>
      <c r="U18" s="23" t="s">
        <v>40</v>
      </c>
      <c r="V18" s="22" t="s">
        <v>41</v>
      </c>
      <c r="W18" s="23" t="s">
        <v>41</v>
      </c>
      <c r="X18" s="170"/>
      <c r="Y18" s="171"/>
      <c r="Z18" s="171"/>
      <c r="AA18" s="172"/>
      <c r="AB18" s="170"/>
      <c r="AC18" s="171"/>
      <c r="AD18" s="171"/>
      <c r="AE18" s="172"/>
      <c r="AF18" s="170"/>
      <c r="AG18" s="171"/>
      <c r="AH18" s="171"/>
      <c r="AI18" s="171"/>
      <c r="AJ18" s="172"/>
      <c r="AK18" s="170"/>
      <c r="AL18" s="171"/>
      <c r="AM18" s="171"/>
      <c r="AN18" s="172"/>
      <c r="AO18" s="170"/>
      <c r="AP18" s="22" t="s">
        <v>40</v>
      </c>
      <c r="AQ18" s="22" t="s">
        <v>40</v>
      </c>
      <c r="AR18" s="22" t="s">
        <v>41</v>
      </c>
      <c r="AS18" s="23" t="s">
        <v>41</v>
      </c>
      <c r="AT18" s="21" t="s">
        <v>41</v>
      </c>
      <c r="AU18" s="22" t="s">
        <v>41</v>
      </c>
      <c r="AV18" s="22" t="s">
        <v>41</v>
      </c>
      <c r="AW18" s="23" t="s">
        <v>41</v>
      </c>
      <c r="AX18" s="21" t="s">
        <v>41</v>
      </c>
      <c r="AY18" s="22" t="s">
        <v>41</v>
      </c>
      <c r="AZ18" s="22" t="s">
        <v>41</v>
      </c>
      <c r="BA18" s="23" t="s">
        <v>41</v>
      </c>
      <c r="BB18" s="24"/>
      <c r="BC18" s="20" t="s">
        <v>36</v>
      </c>
      <c r="BD18" s="25">
        <f>COUNTBLANK(B18:BA18)</f>
        <v>36</v>
      </c>
      <c r="BE18" s="26">
        <f>COUNTIF(B18:BA18,"С")</f>
        <v>4</v>
      </c>
      <c r="BF18" s="26">
        <f>COUNTIF(B18:BA18,"А")</f>
        <v>0</v>
      </c>
      <c r="BG18" s="26">
        <f>COUNTIF(B18:BA18,"Н")</f>
        <v>0</v>
      </c>
      <c r="BH18" s="26">
        <f>COUNTIF(B18:BA18,"П")</f>
        <v>0</v>
      </c>
      <c r="BI18" s="26">
        <f>COUNTIF(B18:BA18,"Д")</f>
        <v>0</v>
      </c>
      <c r="BJ18" s="26">
        <f>COUNTIF(B18:BA18,"К")</f>
        <v>12</v>
      </c>
      <c r="BK18" s="27">
        <f>SUM(BD18:BJ18)</f>
        <v>52</v>
      </c>
    </row>
    <row r="19" spans="1:63" ht="19.5" customHeight="1">
      <c r="A19" s="28" t="s">
        <v>37</v>
      </c>
      <c r="B19" s="173"/>
      <c r="C19" s="174"/>
      <c r="D19" s="174"/>
      <c r="E19" s="175"/>
      <c r="F19" s="173"/>
      <c r="G19" s="174"/>
      <c r="H19" s="174"/>
      <c r="I19" s="174"/>
      <c r="J19" s="173" t="s">
        <v>42</v>
      </c>
      <c r="K19" s="174" t="s">
        <v>42</v>
      </c>
      <c r="L19" s="174"/>
      <c r="M19" s="174"/>
      <c r="N19" s="175"/>
      <c r="O19" s="173"/>
      <c r="P19" s="174"/>
      <c r="Q19" s="30"/>
      <c r="R19" s="31"/>
      <c r="S19" s="224"/>
      <c r="T19" s="31" t="s">
        <v>40</v>
      </c>
      <c r="U19" s="31" t="s">
        <v>40</v>
      </c>
      <c r="V19" s="30" t="s">
        <v>41</v>
      </c>
      <c r="W19" s="31" t="s">
        <v>41</v>
      </c>
      <c r="X19" s="173"/>
      <c r="Y19" s="174"/>
      <c r="Z19" s="174"/>
      <c r="AA19" s="175"/>
      <c r="AB19" s="173"/>
      <c r="AC19" s="174"/>
      <c r="AD19" s="174"/>
      <c r="AE19" s="175"/>
      <c r="AF19" s="173"/>
      <c r="AG19" s="174" t="s">
        <v>42</v>
      </c>
      <c r="AH19" s="174" t="s">
        <v>42</v>
      </c>
      <c r="AI19" s="174"/>
      <c r="AJ19" s="175"/>
      <c r="AK19" s="173"/>
      <c r="AL19" s="174"/>
      <c r="AM19" s="174"/>
      <c r="AN19" s="175"/>
      <c r="AO19" s="173"/>
      <c r="AP19" s="30" t="s">
        <v>40</v>
      </c>
      <c r="AQ19" s="30" t="s">
        <v>40</v>
      </c>
      <c r="AR19" s="30" t="s">
        <v>41</v>
      </c>
      <c r="AS19" s="31" t="s">
        <v>41</v>
      </c>
      <c r="AT19" s="29" t="s">
        <v>41</v>
      </c>
      <c r="AU19" s="30" t="s">
        <v>41</v>
      </c>
      <c r="AV19" s="30" t="s">
        <v>41</v>
      </c>
      <c r="AW19" s="31" t="s">
        <v>41</v>
      </c>
      <c r="AX19" s="29" t="s">
        <v>41</v>
      </c>
      <c r="AY19" s="30" t="s">
        <v>41</v>
      </c>
      <c r="AZ19" s="30" t="s">
        <v>41</v>
      </c>
      <c r="BA19" s="31" t="s">
        <v>41</v>
      </c>
      <c r="BB19" s="24"/>
      <c r="BC19" s="28" t="s">
        <v>37</v>
      </c>
      <c r="BD19" s="32">
        <f>COUNTBLANK(B19:BA19)</f>
        <v>32</v>
      </c>
      <c r="BE19" s="33">
        <f>COUNTIF(B19:BA19,"С")</f>
        <v>4</v>
      </c>
      <c r="BF19" s="33">
        <f>COUNTIF(B19:BA19,"А")</f>
        <v>0</v>
      </c>
      <c r="BG19" s="33">
        <f>COUNTIF(B19:BA19,"Н")</f>
        <v>4</v>
      </c>
      <c r="BH19" s="33">
        <f>COUNTIF(B19:BA19,"П")</f>
        <v>0</v>
      </c>
      <c r="BI19" s="33">
        <f>COUNTIF(B19:BA19,"Д")</f>
        <v>0</v>
      </c>
      <c r="BJ19" s="33">
        <f>COUNTIF(B19:BA19,"К")</f>
        <v>12</v>
      </c>
      <c r="BK19" s="34">
        <f>SUM(BD19:BJ19)</f>
        <v>52</v>
      </c>
    </row>
    <row r="20" spans="1:63" ht="19.5" customHeight="1">
      <c r="A20" s="28" t="s">
        <v>38</v>
      </c>
      <c r="B20" s="173"/>
      <c r="C20" s="174"/>
      <c r="D20" s="174"/>
      <c r="E20" s="175"/>
      <c r="F20" s="173"/>
      <c r="G20" s="174"/>
      <c r="H20" s="174"/>
      <c r="I20" s="174"/>
      <c r="J20" s="173" t="s">
        <v>42</v>
      </c>
      <c r="K20" s="174" t="s">
        <v>42</v>
      </c>
      <c r="L20" s="174"/>
      <c r="M20" s="174"/>
      <c r="N20" s="175"/>
      <c r="O20" s="173"/>
      <c r="P20" s="174"/>
      <c r="Q20" s="30"/>
      <c r="R20" s="31"/>
      <c r="S20" s="224"/>
      <c r="T20" s="31" t="s">
        <v>40</v>
      </c>
      <c r="U20" s="31" t="s">
        <v>40</v>
      </c>
      <c r="V20" s="30" t="s">
        <v>41</v>
      </c>
      <c r="W20" s="31" t="s">
        <v>41</v>
      </c>
      <c r="X20" s="173"/>
      <c r="Y20" s="174"/>
      <c r="Z20" s="174"/>
      <c r="AA20" s="175"/>
      <c r="AB20" s="173"/>
      <c r="AC20" s="174"/>
      <c r="AD20" s="174"/>
      <c r="AE20" s="175"/>
      <c r="AF20" s="173"/>
      <c r="AG20" s="174" t="s">
        <v>42</v>
      </c>
      <c r="AH20" s="174" t="s">
        <v>42</v>
      </c>
      <c r="AI20" s="174"/>
      <c r="AJ20" s="175"/>
      <c r="AK20" s="173"/>
      <c r="AL20" s="174"/>
      <c r="AM20" s="174"/>
      <c r="AN20" s="175"/>
      <c r="AO20" s="173"/>
      <c r="AP20" s="30" t="s">
        <v>40</v>
      </c>
      <c r="AQ20" s="30" t="s">
        <v>40</v>
      </c>
      <c r="AR20" s="30" t="s">
        <v>41</v>
      </c>
      <c r="AS20" s="31" t="s">
        <v>41</v>
      </c>
      <c r="AT20" s="29" t="s">
        <v>41</v>
      </c>
      <c r="AU20" s="30" t="s">
        <v>41</v>
      </c>
      <c r="AV20" s="30" t="s">
        <v>41</v>
      </c>
      <c r="AW20" s="31" t="s">
        <v>41</v>
      </c>
      <c r="AX20" s="29" t="s">
        <v>41</v>
      </c>
      <c r="AY20" s="30" t="s">
        <v>41</v>
      </c>
      <c r="AZ20" s="30" t="s">
        <v>41</v>
      </c>
      <c r="BA20" s="31" t="s">
        <v>41</v>
      </c>
      <c r="BB20" s="24"/>
      <c r="BC20" s="28" t="s">
        <v>38</v>
      </c>
      <c r="BD20" s="32">
        <f>COUNTBLANK(B20:BA20)</f>
        <v>32</v>
      </c>
      <c r="BE20" s="33">
        <f>COUNTIF(B20:BA20,"С")</f>
        <v>4</v>
      </c>
      <c r="BF20" s="33">
        <f>COUNTIF(B20:BA20,"А")</f>
        <v>0</v>
      </c>
      <c r="BG20" s="33">
        <f>COUNTIF(B20:BA20,"Н")</f>
        <v>4</v>
      </c>
      <c r="BH20" s="33">
        <f>COUNTIF(B20:BA20,"П")</f>
        <v>0</v>
      </c>
      <c r="BI20" s="33">
        <f>COUNTIF(B20:BA20,"Д")</f>
        <v>0</v>
      </c>
      <c r="BJ20" s="33">
        <f>COUNTIF(B20:BA20,"К")</f>
        <v>12</v>
      </c>
      <c r="BK20" s="34">
        <f>SUM(BD20:BJ20)</f>
        <v>52</v>
      </c>
    </row>
    <row r="21" spans="1:63" ht="19.5" customHeight="1" thickBot="1">
      <c r="A21" s="35" t="s">
        <v>39</v>
      </c>
      <c r="B21" s="176"/>
      <c r="C21" s="177"/>
      <c r="D21" s="177"/>
      <c r="E21" s="178"/>
      <c r="F21" s="176"/>
      <c r="G21" s="177"/>
      <c r="H21" s="177" t="s">
        <v>42</v>
      </c>
      <c r="I21" s="177" t="s">
        <v>42</v>
      </c>
      <c r="J21" s="176" t="s">
        <v>42</v>
      </c>
      <c r="K21" s="177" t="s">
        <v>42</v>
      </c>
      <c r="L21" s="177"/>
      <c r="M21" s="177"/>
      <c r="N21" s="178"/>
      <c r="O21" s="176"/>
      <c r="P21" s="177"/>
      <c r="Q21" s="37"/>
      <c r="R21" s="38"/>
      <c r="S21" s="225"/>
      <c r="T21" s="38" t="s">
        <v>40</v>
      </c>
      <c r="U21" s="38" t="s">
        <v>40</v>
      </c>
      <c r="V21" s="37" t="s">
        <v>41</v>
      </c>
      <c r="W21" s="38" t="s">
        <v>41</v>
      </c>
      <c r="X21" s="176" t="s">
        <v>43</v>
      </c>
      <c r="Y21" s="177" t="s">
        <v>43</v>
      </c>
      <c r="Z21" s="177" t="s">
        <v>43</v>
      </c>
      <c r="AA21" s="178" t="s">
        <v>43</v>
      </c>
      <c r="AB21" s="176" t="s">
        <v>43</v>
      </c>
      <c r="AC21" s="177" t="s">
        <v>43</v>
      </c>
      <c r="AD21" s="177" t="s">
        <v>43</v>
      </c>
      <c r="AE21" s="178" t="s">
        <v>43</v>
      </c>
      <c r="AF21" s="181"/>
      <c r="AG21" s="179"/>
      <c r="AH21" s="179"/>
      <c r="AI21" s="179"/>
      <c r="AJ21" s="180"/>
      <c r="AK21" s="181"/>
      <c r="AL21" s="179"/>
      <c r="AM21" s="179"/>
      <c r="AN21" s="38" t="s">
        <v>40</v>
      </c>
      <c r="AO21" s="36" t="s">
        <v>40</v>
      </c>
      <c r="AP21" s="37" t="s">
        <v>44</v>
      </c>
      <c r="AQ21" s="37" t="s">
        <v>44</v>
      </c>
      <c r="AR21" s="37"/>
      <c r="AS21" s="38"/>
      <c r="AT21" s="36"/>
      <c r="AU21" s="37"/>
      <c r="AV21" s="37"/>
      <c r="AW21" s="38"/>
      <c r="AX21" s="36"/>
      <c r="AY21" s="37"/>
      <c r="AZ21" s="37"/>
      <c r="BA21" s="38"/>
      <c r="BB21" s="24"/>
      <c r="BC21" s="35" t="s">
        <v>39</v>
      </c>
      <c r="BD21" s="39">
        <f>COUNTBLANK(B21:AQ21)</f>
        <v>22</v>
      </c>
      <c r="BE21" s="40">
        <f>COUNTIF(B21:BA21,"С")</f>
        <v>4</v>
      </c>
      <c r="BF21" s="40">
        <f>COUNTIF(B21:BA21,"А")</f>
        <v>2</v>
      </c>
      <c r="BG21" s="40">
        <f>COUNTIF(B21:BA21,"Н")</f>
        <v>4</v>
      </c>
      <c r="BH21" s="40">
        <f>COUNTIF(B21:BA21,"П")</f>
        <v>8</v>
      </c>
      <c r="BI21" s="40">
        <f>COUNTIF(B21:BA21,"Д")</f>
        <v>0</v>
      </c>
      <c r="BJ21" s="40">
        <f>COUNTIF(B21:BA21,"К")</f>
        <v>2</v>
      </c>
      <c r="BK21" s="41">
        <f>SUM(BD21:BJ21)</f>
        <v>42</v>
      </c>
    </row>
    <row r="22" spans="55:63" ht="16.5" thickBot="1">
      <c r="BC22" s="42" t="s">
        <v>83</v>
      </c>
      <c r="BD22" s="39">
        <f>SUM(BD18:BD21)</f>
        <v>122</v>
      </c>
      <c r="BE22" s="39">
        <f aca="true" t="shared" si="0" ref="BE22:BK22">SUM(BE18:BE21)</f>
        <v>16</v>
      </c>
      <c r="BF22" s="39">
        <f t="shared" si="0"/>
        <v>2</v>
      </c>
      <c r="BG22" s="39">
        <f t="shared" si="0"/>
        <v>12</v>
      </c>
      <c r="BH22" s="39">
        <f t="shared" si="0"/>
        <v>8</v>
      </c>
      <c r="BI22" s="39">
        <f t="shared" si="0"/>
        <v>0</v>
      </c>
      <c r="BJ22" s="39">
        <f t="shared" si="0"/>
        <v>38</v>
      </c>
      <c r="BK22" s="85">
        <f t="shared" si="0"/>
        <v>198</v>
      </c>
    </row>
    <row r="24" spans="1:63" s="182" customFormat="1" ht="18.75" customHeight="1">
      <c r="A24" s="43" t="s">
        <v>46</v>
      </c>
      <c r="B24" s="44"/>
      <c r="C24" s="44"/>
      <c r="D24" s="44"/>
      <c r="E24" s="45"/>
      <c r="F24" s="255" t="s">
        <v>47</v>
      </c>
      <c r="G24" s="255"/>
      <c r="H24" s="255"/>
      <c r="I24" s="255"/>
      <c r="J24" s="44"/>
      <c r="K24" s="47" t="s">
        <v>40</v>
      </c>
      <c r="L24" s="255" t="s">
        <v>73</v>
      </c>
      <c r="M24" s="255"/>
      <c r="N24" s="255"/>
      <c r="O24" s="255"/>
      <c r="P24" s="255"/>
      <c r="Q24" s="44"/>
      <c r="R24" s="30" t="s">
        <v>42</v>
      </c>
      <c r="S24" s="255" t="s">
        <v>48</v>
      </c>
      <c r="T24" s="255"/>
      <c r="U24" s="255"/>
      <c r="V24" s="255"/>
      <c r="W24" s="255"/>
      <c r="X24" s="44"/>
      <c r="Y24" s="30" t="s">
        <v>43</v>
      </c>
      <c r="Z24" s="255" t="s">
        <v>49</v>
      </c>
      <c r="AA24" s="255"/>
      <c r="AB24" s="255"/>
      <c r="AC24" s="255"/>
      <c r="AD24" s="255"/>
      <c r="AE24" s="44"/>
      <c r="AF24" s="30" t="s">
        <v>44</v>
      </c>
      <c r="AG24" s="246" t="s">
        <v>34</v>
      </c>
      <c r="AH24" s="246"/>
      <c r="AI24" s="246"/>
      <c r="AJ24" s="246"/>
      <c r="AK24" s="246"/>
      <c r="AL24" s="246"/>
      <c r="AM24" s="46"/>
      <c r="AN24" s="30" t="s">
        <v>72</v>
      </c>
      <c r="AO24" s="246" t="s">
        <v>93</v>
      </c>
      <c r="AP24" s="246"/>
      <c r="AQ24" s="246"/>
      <c r="AR24" s="246"/>
      <c r="AS24" s="246"/>
      <c r="AT24" s="246"/>
      <c r="AU24" s="92"/>
      <c r="AV24" s="30" t="s">
        <v>41</v>
      </c>
      <c r="AW24" s="246" t="s">
        <v>35</v>
      </c>
      <c r="AX24" s="246"/>
      <c r="AY24" s="246"/>
      <c r="AZ24" s="246"/>
      <c r="BA24" s="246"/>
      <c r="BB24" s="166"/>
      <c r="BC24" s="44"/>
      <c r="BD24" s="44"/>
      <c r="BE24" s="44"/>
      <c r="BF24" s="44"/>
      <c r="BG24" s="44"/>
      <c r="BH24" s="44"/>
      <c r="BI24" s="44"/>
      <c r="BJ24" s="44"/>
      <c r="BK24" s="44"/>
    </row>
    <row r="25" spans="1:63" s="183" customFormat="1" ht="20.25">
      <c r="A25" s="48"/>
      <c r="B25" s="48"/>
      <c r="C25" s="48"/>
      <c r="D25" s="48"/>
      <c r="E25" s="48"/>
      <c r="F25" s="255"/>
      <c r="G25" s="255"/>
      <c r="H25" s="255"/>
      <c r="I25" s="255"/>
      <c r="J25" s="48"/>
      <c r="K25" s="48"/>
      <c r="L25" s="255"/>
      <c r="M25" s="255"/>
      <c r="N25" s="255"/>
      <c r="O25" s="255"/>
      <c r="P25" s="255"/>
      <c r="Q25" s="48"/>
      <c r="R25" s="48"/>
      <c r="S25" s="255"/>
      <c r="T25" s="255"/>
      <c r="U25" s="255"/>
      <c r="V25" s="255"/>
      <c r="W25" s="255"/>
      <c r="X25" s="48"/>
      <c r="Y25" s="48"/>
      <c r="Z25" s="255"/>
      <c r="AA25" s="255"/>
      <c r="AB25" s="255"/>
      <c r="AC25" s="255"/>
      <c r="AD25" s="255"/>
      <c r="AE25" s="48"/>
      <c r="AF25" s="48"/>
      <c r="AG25" s="246"/>
      <c r="AH25" s="246"/>
      <c r="AI25" s="246"/>
      <c r="AJ25" s="246"/>
      <c r="AK25" s="246"/>
      <c r="AL25" s="246"/>
      <c r="AM25" s="46"/>
      <c r="AN25" s="48"/>
      <c r="AO25" s="246"/>
      <c r="AP25" s="246"/>
      <c r="AQ25" s="246"/>
      <c r="AR25" s="246"/>
      <c r="AS25" s="246"/>
      <c r="AT25" s="246"/>
      <c r="AU25" s="48"/>
      <c r="AV25" s="48"/>
      <c r="AW25" s="246"/>
      <c r="AX25" s="246"/>
      <c r="AY25" s="246"/>
      <c r="AZ25" s="246"/>
      <c r="BA25" s="246"/>
      <c r="BB25" s="166"/>
      <c r="BC25" s="48"/>
      <c r="BD25" s="48"/>
      <c r="BE25" s="48"/>
      <c r="BF25" s="48"/>
      <c r="BG25" s="48"/>
      <c r="BH25" s="48"/>
      <c r="BI25" s="48"/>
      <c r="BJ25" s="48"/>
      <c r="BK25" s="48"/>
    </row>
  </sheetData>
  <sheetProtection/>
  <mergeCells count="58">
    <mergeCell ref="AX7:BE7"/>
    <mergeCell ref="AX8:BE8"/>
    <mergeCell ref="AX9:BE9"/>
    <mergeCell ref="A14:BA14"/>
    <mergeCell ref="S11:AA11"/>
    <mergeCell ref="AB10:AU10"/>
    <mergeCell ref="AB11:AU11"/>
    <mergeCell ref="AX11:BE11"/>
    <mergeCell ref="S9:AA9"/>
    <mergeCell ref="AB9:AU9"/>
    <mergeCell ref="BF11:BK11"/>
    <mergeCell ref="S12:AA12"/>
    <mergeCell ref="AB12:AU12"/>
    <mergeCell ref="AX12:BE12"/>
    <mergeCell ref="B16:E16"/>
    <mergeCell ref="A16:A17"/>
    <mergeCell ref="BF16:BF17"/>
    <mergeCell ref="BG16:BG17"/>
    <mergeCell ref="BC14:BK14"/>
    <mergeCell ref="AB8:AU8"/>
    <mergeCell ref="AB7:AU7"/>
    <mergeCell ref="AK16:AN16"/>
    <mergeCell ref="AB16:AE16"/>
    <mergeCell ref="AF16:AJ16"/>
    <mergeCell ref="AO16:AS16"/>
    <mergeCell ref="AT16:AW16"/>
    <mergeCell ref="S10:AA10"/>
    <mergeCell ref="F16:I16"/>
    <mergeCell ref="J16:N16"/>
    <mergeCell ref="O16:R16"/>
    <mergeCell ref="S16:W16"/>
    <mergeCell ref="X16:AA16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F24:I25"/>
    <mergeCell ref="L24:P25"/>
    <mergeCell ref="S24:W25"/>
    <mergeCell ref="Z24:AD25"/>
    <mergeCell ref="AG24:AL25"/>
    <mergeCell ref="AO24:AT25"/>
    <mergeCell ref="AW24:BA25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93"/>
  <sheetViews>
    <sheetView showGridLines="0" zoomScale="60" zoomScaleNormal="60" zoomScaleSheetLayoutView="70" zoomScalePageLayoutView="0" workbookViewId="0" topLeftCell="A1">
      <selection activeCell="AC28" sqref="AC28"/>
    </sheetView>
  </sheetViews>
  <sheetFormatPr defaultColWidth="9.00390625" defaultRowHeight="12.75"/>
  <cols>
    <col min="1" max="1" width="10.75390625" style="5" customWidth="1"/>
    <col min="2" max="2" width="80.75390625" style="5" customWidth="1"/>
    <col min="3" max="12" width="2.25390625" style="5" customWidth="1"/>
    <col min="13" max="13" width="4.75390625" style="5" customWidth="1"/>
    <col min="14" max="14" width="7.00390625" style="163" customWidth="1"/>
    <col min="15" max="15" width="6.75390625" style="5" customWidth="1"/>
    <col min="16" max="16" width="7.875" style="163" customWidth="1"/>
    <col min="17" max="17" width="6.75390625" style="163" customWidth="1"/>
    <col min="18" max="18" width="7.75390625" style="163" customWidth="1"/>
    <col min="19" max="19" width="6.75390625" style="163" customWidth="1"/>
    <col min="20" max="20" width="7.375" style="163" customWidth="1"/>
    <col min="21" max="28" width="6.25390625" style="5" customWidth="1"/>
    <col min="29" max="16384" width="9.125" style="5" customWidth="1"/>
  </cols>
  <sheetData>
    <row r="1" spans="1:28" ht="30" customHeight="1" thickBot="1">
      <c r="A1" s="351" t="s">
        <v>74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3"/>
    </row>
    <row r="2" spans="1:28" ht="15.75" customHeight="1">
      <c r="A2" s="312" t="s">
        <v>113</v>
      </c>
      <c r="B2" s="354" t="s">
        <v>114</v>
      </c>
      <c r="C2" s="361" t="s">
        <v>115</v>
      </c>
      <c r="D2" s="362"/>
      <c r="E2" s="362"/>
      <c r="F2" s="363"/>
      <c r="G2" s="363"/>
      <c r="H2" s="363"/>
      <c r="I2" s="363"/>
      <c r="J2" s="363"/>
      <c r="K2" s="363"/>
      <c r="L2" s="363"/>
      <c r="M2" s="364"/>
      <c r="N2" s="321" t="s">
        <v>5</v>
      </c>
      <c r="O2" s="322"/>
      <c r="P2" s="322"/>
      <c r="Q2" s="322"/>
      <c r="R2" s="322"/>
      <c r="S2" s="322"/>
      <c r="T2" s="323"/>
      <c r="U2" s="321" t="s">
        <v>7</v>
      </c>
      <c r="V2" s="322"/>
      <c r="W2" s="322"/>
      <c r="X2" s="322"/>
      <c r="Y2" s="322"/>
      <c r="Z2" s="322"/>
      <c r="AA2" s="322"/>
      <c r="AB2" s="323"/>
    </row>
    <row r="3" spans="1:28" ht="15.75" customHeight="1">
      <c r="A3" s="313"/>
      <c r="B3" s="355"/>
      <c r="C3" s="365"/>
      <c r="D3" s="366"/>
      <c r="E3" s="366"/>
      <c r="F3" s="367"/>
      <c r="G3" s="367"/>
      <c r="H3" s="367"/>
      <c r="I3" s="367"/>
      <c r="J3" s="367"/>
      <c r="K3" s="367"/>
      <c r="L3" s="367"/>
      <c r="M3" s="368"/>
      <c r="N3" s="390" t="s">
        <v>13</v>
      </c>
      <c r="O3" s="378" t="s">
        <v>14</v>
      </c>
      <c r="P3" s="380" t="s">
        <v>75</v>
      </c>
      <c r="Q3" s="387" t="s">
        <v>6</v>
      </c>
      <c r="R3" s="388"/>
      <c r="S3" s="389"/>
      <c r="T3" s="392" t="s">
        <v>77</v>
      </c>
      <c r="U3" s="377" t="s">
        <v>8</v>
      </c>
      <c r="V3" s="335"/>
      <c r="W3" s="335" t="s">
        <v>9</v>
      </c>
      <c r="X3" s="335"/>
      <c r="Y3" s="335" t="s">
        <v>10</v>
      </c>
      <c r="Z3" s="335"/>
      <c r="AA3" s="335" t="s">
        <v>11</v>
      </c>
      <c r="AB3" s="336"/>
    </row>
    <row r="4" spans="1:28" ht="15.75" customHeight="1">
      <c r="A4" s="313"/>
      <c r="B4" s="355"/>
      <c r="C4" s="371" t="s">
        <v>1</v>
      </c>
      <c r="D4" s="372"/>
      <c r="E4" s="372"/>
      <c r="F4" s="373"/>
      <c r="G4" s="373"/>
      <c r="H4" s="373" t="s">
        <v>2</v>
      </c>
      <c r="I4" s="373"/>
      <c r="J4" s="373"/>
      <c r="K4" s="373"/>
      <c r="L4" s="373"/>
      <c r="M4" s="357" t="s">
        <v>3</v>
      </c>
      <c r="N4" s="390"/>
      <c r="O4" s="378"/>
      <c r="P4" s="381"/>
      <c r="Q4" s="359" t="s">
        <v>4</v>
      </c>
      <c r="R4" s="369" t="s">
        <v>12</v>
      </c>
      <c r="S4" s="359" t="s">
        <v>76</v>
      </c>
      <c r="T4" s="393"/>
      <c r="U4" s="73">
        <v>1</v>
      </c>
      <c r="V4" s="74">
        <v>2</v>
      </c>
      <c r="W4" s="74">
        <v>3</v>
      </c>
      <c r="X4" s="74">
        <v>4</v>
      </c>
      <c r="Y4" s="74">
        <v>5</v>
      </c>
      <c r="Z4" s="74">
        <v>6</v>
      </c>
      <c r="AA4" s="74">
        <v>7</v>
      </c>
      <c r="AB4" s="75">
        <v>8</v>
      </c>
    </row>
    <row r="5" spans="1:28" ht="14.25" customHeight="1">
      <c r="A5" s="313"/>
      <c r="B5" s="355"/>
      <c r="C5" s="371"/>
      <c r="D5" s="372"/>
      <c r="E5" s="372"/>
      <c r="F5" s="373"/>
      <c r="G5" s="373"/>
      <c r="H5" s="373"/>
      <c r="I5" s="373"/>
      <c r="J5" s="373"/>
      <c r="K5" s="373"/>
      <c r="L5" s="373"/>
      <c r="M5" s="357"/>
      <c r="N5" s="390"/>
      <c r="O5" s="378"/>
      <c r="P5" s="381"/>
      <c r="Q5" s="359"/>
      <c r="R5" s="369"/>
      <c r="S5" s="359"/>
      <c r="T5" s="393"/>
      <c r="U5" s="324" t="s">
        <v>116</v>
      </c>
      <c r="V5" s="325"/>
      <c r="W5" s="325"/>
      <c r="X5" s="325"/>
      <c r="Y5" s="325"/>
      <c r="Z5" s="325"/>
      <c r="AA5" s="325"/>
      <c r="AB5" s="326"/>
    </row>
    <row r="6" spans="1:28" ht="14.25" customHeight="1">
      <c r="A6" s="313"/>
      <c r="B6" s="355"/>
      <c r="C6" s="371"/>
      <c r="D6" s="372"/>
      <c r="E6" s="372"/>
      <c r="F6" s="373"/>
      <c r="G6" s="373"/>
      <c r="H6" s="373"/>
      <c r="I6" s="373"/>
      <c r="J6" s="373"/>
      <c r="K6" s="373"/>
      <c r="L6" s="373"/>
      <c r="M6" s="357"/>
      <c r="N6" s="390"/>
      <c r="O6" s="378"/>
      <c r="P6" s="381"/>
      <c r="Q6" s="359"/>
      <c r="R6" s="369"/>
      <c r="S6" s="359"/>
      <c r="T6" s="393"/>
      <c r="U6" s="86">
        <v>10</v>
      </c>
      <c r="V6" s="87">
        <v>20</v>
      </c>
      <c r="W6" s="87">
        <v>15</v>
      </c>
      <c r="X6" s="87">
        <v>15</v>
      </c>
      <c r="Y6" s="87">
        <v>15</v>
      </c>
      <c r="Z6" s="87">
        <v>15</v>
      </c>
      <c r="AA6" s="87">
        <v>15</v>
      </c>
      <c r="AB6" s="88">
        <v>15</v>
      </c>
    </row>
    <row r="7" spans="1:28" ht="52.5" customHeight="1" thickBot="1">
      <c r="A7" s="314"/>
      <c r="B7" s="356"/>
      <c r="C7" s="374"/>
      <c r="D7" s="375"/>
      <c r="E7" s="375"/>
      <c r="F7" s="376"/>
      <c r="G7" s="376"/>
      <c r="H7" s="376"/>
      <c r="I7" s="376"/>
      <c r="J7" s="376"/>
      <c r="K7" s="376"/>
      <c r="L7" s="376"/>
      <c r="M7" s="358"/>
      <c r="N7" s="391"/>
      <c r="O7" s="379"/>
      <c r="P7" s="382"/>
      <c r="Q7" s="360"/>
      <c r="R7" s="370"/>
      <c r="S7" s="360"/>
      <c r="T7" s="394"/>
      <c r="U7" s="337" t="s">
        <v>15</v>
      </c>
      <c r="V7" s="338"/>
      <c r="W7" s="338"/>
      <c r="X7" s="338"/>
      <c r="Y7" s="338"/>
      <c r="Z7" s="338"/>
      <c r="AA7" s="338"/>
      <c r="AB7" s="339"/>
    </row>
    <row r="8" spans="1:28" ht="19.5" customHeight="1" thickBot="1">
      <c r="A8" s="76">
        <v>1</v>
      </c>
      <c r="B8" s="77">
        <v>2</v>
      </c>
      <c r="C8" s="383">
        <v>3</v>
      </c>
      <c r="D8" s="384"/>
      <c r="E8" s="384"/>
      <c r="F8" s="384"/>
      <c r="G8" s="385"/>
      <c r="H8" s="386">
        <v>4</v>
      </c>
      <c r="I8" s="384"/>
      <c r="J8" s="384"/>
      <c r="K8" s="384"/>
      <c r="L8" s="385"/>
      <c r="M8" s="79">
        <v>5</v>
      </c>
      <c r="N8" s="80">
        <v>6</v>
      </c>
      <c r="O8" s="81">
        <v>7</v>
      </c>
      <c r="P8" s="82">
        <v>8</v>
      </c>
      <c r="Q8" s="82">
        <v>9</v>
      </c>
      <c r="R8" s="82">
        <v>10</v>
      </c>
      <c r="S8" s="82">
        <v>11</v>
      </c>
      <c r="T8" s="83">
        <v>12</v>
      </c>
      <c r="U8" s="78">
        <v>13</v>
      </c>
      <c r="V8" s="81">
        <v>14</v>
      </c>
      <c r="W8" s="81">
        <v>15</v>
      </c>
      <c r="X8" s="81">
        <v>16</v>
      </c>
      <c r="Y8" s="81">
        <v>17</v>
      </c>
      <c r="Z8" s="81">
        <v>18</v>
      </c>
      <c r="AA8" s="81">
        <v>19</v>
      </c>
      <c r="AB8" s="79">
        <v>20</v>
      </c>
    </row>
    <row r="9" spans="1:28" ht="34.5" customHeight="1" thickBot="1">
      <c r="A9" s="309" t="s">
        <v>117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1"/>
    </row>
    <row r="10" spans="1:28" s="184" customFormat="1" ht="34.5" customHeight="1" thickBot="1">
      <c r="A10" s="278" t="s">
        <v>132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80"/>
    </row>
    <row r="11" spans="1:28" s="1" customFormat="1" ht="24.75" customHeight="1">
      <c r="A11" s="71" t="s">
        <v>159</v>
      </c>
      <c r="B11" s="110" t="s">
        <v>206</v>
      </c>
      <c r="C11" s="111"/>
      <c r="D11" s="111"/>
      <c r="E11" s="111"/>
      <c r="F11" s="111"/>
      <c r="G11" s="112"/>
      <c r="H11" s="113"/>
      <c r="I11" s="111"/>
      <c r="J11" s="111">
        <v>1</v>
      </c>
      <c r="K11" s="111"/>
      <c r="L11" s="112"/>
      <c r="M11" s="114"/>
      <c r="N11" s="68">
        <f aca="true" t="shared" si="0" ref="N11:N19">O11*30</f>
        <v>90</v>
      </c>
      <c r="O11" s="69">
        <f aca="true" t="shared" si="1" ref="O11:O19">SUM(U11:AB11)</f>
        <v>3</v>
      </c>
      <c r="P11" s="69">
        <f aca="true" t="shared" si="2" ref="P11:P19">O11*10</f>
        <v>30</v>
      </c>
      <c r="Q11" s="115">
        <v>4</v>
      </c>
      <c r="R11" s="115">
        <v>26</v>
      </c>
      <c r="S11" s="115"/>
      <c r="T11" s="70">
        <f aca="true" t="shared" si="3" ref="T11:T19">N11-P11</f>
        <v>60</v>
      </c>
      <c r="U11" s="68">
        <v>3</v>
      </c>
      <c r="V11" s="69"/>
      <c r="W11" s="69"/>
      <c r="X11" s="69"/>
      <c r="Y11" s="69"/>
      <c r="Z11" s="69"/>
      <c r="AA11" s="69"/>
      <c r="AB11" s="72"/>
    </row>
    <row r="12" spans="1:28" s="1" customFormat="1" ht="24.75" customHeight="1">
      <c r="A12" s="71" t="s">
        <v>160</v>
      </c>
      <c r="B12" s="116" t="s">
        <v>148</v>
      </c>
      <c r="C12" s="111"/>
      <c r="D12" s="111"/>
      <c r="E12" s="111"/>
      <c r="F12" s="111"/>
      <c r="G12" s="112"/>
      <c r="H12" s="113"/>
      <c r="I12" s="111"/>
      <c r="J12" s="111">
        <v>1</v>
      </c>
      <c r="K12" s="111"/>
      <c r="L12" s="112"/>
      <c r="M12" s="114"/>
      <c r="N12" s="68">
        <f t="shared" si="0"/>
        <v>120</v>
      </c>
      <c r="O12" s="69">
        <f t="shared" si="1"/>
        <v>4</v>
      </c>
      <c r="P12" s="69">
        <f t="shared" si="2"/>
        <v>40</v>
      </c>
      <c r="Q12" s="115">
        <v>20</v>
      </c>
      <c r="R12" s="115">
        <v>20</v>
      </c>
      <c r="S12" s="115"/>
      <c r="T12" s="70">
        <f t="shared" si="3"/>
        <v>80</v>
      </c>
      <c r="U12" s="68">
        <v>4</v>
      </c>
      <c r="V12" s="69"/>
      <c r="W12" s="69"/>
      <c r="X12" s="69"/>
      <c r="Y12" s="69"/>
      <c r="Z12" s="69"/>
      <c r="AA12" s="69"/>
      <c r="AB12" s="72"/>
    </row>
    <row r="13" spans="1:28" s="1" customFormat="1" ht="24.75" customHeight="1">
      <c r="A13" s="71" t="s">
        <v>161</v>
      </c>
      <c r="B13" s="116" t="s">
        <v>149</v>
      </c>
      <c r="C13" s="111"/>
      <c r="D13" s="111"/>
      <c r="E13" s="111"/>
      <c r="F13" s="111"/>
      <c r="G13" s="112"/>
      <c r="H13" s="113"/>
      <c r="I13" s="111"/>
      <c r="J13" s="111">
        <v>1</v>
      </c>
      <c r="K13" s="111"/>
      <c r="L13" s="112"/>
      <c r="M13" s="114"/>
      <c r="N13" s="68">
        <f t="shared" si="0"/>
        <v>90</v>
      </c>
      <c r="O13" s="69">
        <f t="shared" si="1"/>
        <v>3</v>
      </c>
      <c r="P13" s="69">
        <f t="shared" si="2"/>
        <v>30</v>
      </c>
      <c r="Q13" s="115">
        <v>10</v>
      </c>
      <c r="R13" s="115">
        <v>20</v>
      </c>
      <c r="S13" s="115"/>
      <c r="T13" s="70">
        <f t="shared" si="3"/>
        <v>60</v>
      </c>
      <c r="U13" s="68">
        <v>3</v>
      </c>
      <c r="V13" s="69"/>
      <c r="W13" s="69"/>
      <c r="X13" s="69"/>
      <c r="Y13" s="69"/>
      <c r="Z13" s="69"/>
      <c r="AA13" s="69"/>
      <c r="AB13" s="72"/>
    </row>
    <row r="14" spans="1:28" s="1" customFormat="1" ht="24.75" customHeight="1">
      <c r="A14" s="71" t="s">
        <v>162</v>
      </c>
      <c r="B14" s="116" t="s">
        <v>253</v>
      </c>
      <c r="C14" s="111"/>
      <c r="D14" s="111"/>
      <c r="E14" s="111"/>
      <c r="F14" s="111"/>
      <c r="G14" s="112"/>
      <c r="H14" s="113"/>
      <c r="I14" s="111"/>
      <c r="J14" s="111">
        <v>2</v>
      </c>
      <c r="K14" s="111"/>
      <c r="L14" s="112"/>
      <c r="M14" s="114"/>
      <c r="N14" s="68">
        <f>O14*30</f>
        <v>90</v>
      </c>
      <c r="O14" s="69">
        <f>SUM(U14:AB14)</f>
        <v>3</v>
      </c>
      <c r="P14" s="69">
        <f>O14*10</f>
        <v>30</v>
      </c>
      <c r="Q14" s="115">
        <v>10</v>
      </c>
      <c r="R14" s="115">
        <v>20</v>
      </c>
      <c r="S14" s="115"/>
      <c r="T14" s="70">
        <f>N14-P14</f>
        <v>60</v>
      </c>
      <c r="U14" s="68"/>
      <c r="V14" s="69">
        <v>3</v>
      </c>
      <c r="W14" s="69"/>
      <c r="X14" s="69"/>
      <c r="Y14" s="69"/>
      <c r="Z14" s="69"/>
      <c r="AA14" s="69"/>
      <c r="AB14" s="72"/>
    </row>
    <row r="15" spans="1:28" s="1" customFormat="1" ht="24.75" customHeight="1">
      <c r="A15" s="71" t="s">
        <v>163</v>
      </c>
      <c r="B15" s="116" t="s">
        <v>150</v>
      </c>
      <c r="C15" s="111"/>
      <c r="D15" s="111"/>
      <c r="E15" s="111"/>
      <c r="F15" s="111"/>
      <c r="G15" s="112"/>
      <c r="H15" s="113"/>
      <c r="I15" s="111"/>
      <c r="J15" s="111">
        <v>3</v>
      </c>
      <c r="K15" s="111"/>
      <c r="L15" s="112"/>
      <c r="M15" s="114"/>
      <c r="N15" s="68">
        <f t="shared" si="0"/>
        <v>90</v>
      </c>
      <c r="O15" s="69">
        <f t="shared" si="1"/>
        <v>3</v>
      </c>
      <c r="P15" s="69">
        <f t="shared" si="2"/>
        <v>30</v>
      </c>
      <c r="Q15" s="115">
        <v>10</v>
      </c>
      <c r="R15" s="115">
        <v>20</v>
      </c>
      <c r="S15" s="115"/>
      <c r="T15" s="70">
        <f t="shared" si="3"/>
        <v>60</v>
      </c>
      <c r="U15" s="68"/>
      <c r="V15" s="69"/>
      <c r="W15" s="69">
        <v>3</v>
      </c>
      <c r="X15" s="69"/>
      <c r="Y15" s="69"/>
      <c r="Z15" s="69"/>
      <c r="AA15" s="69"/>
      <c r="AB15" s="72"/>
    </row>
    <row r="16" spans="1:28" s="1" customFormat="1" ht="24.75" customHeight="1">
      <c r="A16" s="71" t="s">
        <v>164</v>
      </c>
      <c r="B16" s="116" t="s">
        <v>252</v>
      </c>
      <c r="C16" s="111"/>
      <c r="D16" s="111"/>
      <c r="E16" s="111"/>
      <c r="F16" s="111"/>
      <c r="G16" s="112"/>
      <c r="H16" s="113"/>
      <c r="I16" s="111"/>
      <c r="J16" s="111">
        <v>3</v>
      </c>
      <c r="K16" s="111"/>
      <c r="L16" s="112"/>
      <c r="M16" s="114"/>
      <c r="N16" s="68">
        <f t="shared" si="0"/>
        <v>90</v>
      </c>
      <c r="O16" s="69">
        <f t="shared" si="1"/>
        <v>3</v>
      </c>
      <c r="P16" s="69">
        <f t="shared" si="2"/>
        <v>30</v>
      </c>
      <c r="Q16" s="115">
        <v>10</v>
      </c>
      <c r="R16" s="115">
        <v>20</v>
      </c>
      <c r="S16" s="115"/>
      <c r="T16" s="70">
        <f t="shared" si="3"/>
        <v>60</v>
      </c>
      <c r="U16" s="68"/>
      <c r="V16" s="69"/>
      <c r="W16" s="69">
        <v>3</v>
      </c>
      <c r="X16" s="69"/>
      <c r="Y16" s="69"/>
      <c r="Z16" s="69"/>
      <c r="AA16" s="69"/>
      <c r="AB16" s="72"/>
    </row>
    <row r="17" spans="1:28" s="1" customFormat="1" ht="24.75" customHeight="1">
      <c r="A17" s="71" t="s">
        <v>165</v>
      </c>
      <c r="B17" s="116" t="s">
        <v>207</v>
      </c>
      <c r="C17" s="111"/>
      <c r="D17" s="111"/>
      <c r="E17" s="111"/>
      <c r="F17" s="111"/>
      <c r="G17" s="112"/>
      <c r="H17" s="113"/>
      <c r="I17" s="111"/>
      <c r="J17" s="111">
        <v>4</v>
      </c>
      <c r="K17" s="111"/>
      <c r="L17" s="112"/>
      <c r="M17" s="114"/>
      <c r="N17" s="68">
        <f t="shared" si="0"/>
        <v>240</v>
      </c>
      <c r="O17" s="69">
        <f t="shared" si="1"/>
        <v>8</v>
      </c>
      <c r="P17" s="69">
        <f t="shared" si="2"/>
        <v>80</v>
      </c>
      <c r="Q17" s="115"/>
      <c r="R17" s="115">
        <v>80</v>
      </c>
      <c r="S17" s="115"/>
      <c r="T17" s="70">
        <f t="shared" si="3"/>
        <v>160</v>
      </c>
      <c r="U17" s="68">
        <v>2</v>
      </c>
      <c r="V17" s="69">
        <v>2</v>
      </c>
      <c r="W17" s="69">
        <v>2</v>
      </c>
      <c r="X17" s="69">
        <v>2</v>
      </c>
      <c r="Y17" s="69"/>
      <c r="Z17" s="69"/>
      <c r="AA17" s="69"/>
      <c r="AB17" s="72"/>
    </row>
    <row r="18" spans="1:28" s="1" customFormat="1" ht="24.75" customHeight="1">
      <c r="A18" s="71" t="s">
        <v>166</v>
      </c>
      <c r="B18" s="116" t="s">
        <v>250</v>
      </c>
      <c r="C18" s="111"/>
      <c r="D18" s="111"/>
      <c r="E18" s="111"/>
      <c r="F18" s="111"/>
      <c r="G18" s="112"/>
      <c r="H18" s="113"/>
      <c r="I18" s="111">
        <v>2</v>
      </c>
      <c r="J18" s="111"/>
      <c r="K18" s="111">
        <v>4</v>
      </c>
      <c r="L18" s="112"/>
      <c r="M18" s="114"/>
      <c r="N18" s="68">
        <f t="shared" si="0"/>
        <v>360</v>
      </c>
      <c r="O18" s="69">
        <f t="shared" si="1"/>
        <v>12</v>
      </c>
      <c r="P18" s="69">
        <f t="shared" si="2"/>
        <v>120</v>
      </c>
      <c r="Q18" s="115"/>
      <c r="R18" s="115">
        <v>120</v>
      </c>
      <c r="S18" s="115"/>
      <c r="T18" s="70">
        <f t="shared" si="3"/>
        <v>240</v>
      </c>
      <c r="U18" s="68">
        <v>3</v>
      </c>
      <c r="V18" s="69">
        <v>3</v>
      </c>
      <c r="W18" s="69">
        <v>3</v>
      </c>
      <c r="X18" s="69">
        <v>3</v>
      </c>
      <c r="Y18" s="69"/>
      <c r="Z18" s="69"/>
      <c r="AA18" s="69"/>
      <c r="AB18" s="72"/>
    </row>
    <row r="19" spans="1:28" s="1" customFormat="1" ht="24.75" customHeight="1">
      <c r="A19" s="71" t="s">
        <v>167</v>
      </c>
      <c r="B19" s="116" t="s">
        <v>251</v>
      </c>
      <c r="C19" s="111"/>
      <c r="D19" s="111"/>
      <c r="E19" s="111"/>
      <c r="F19" s="111"/>
      <c r="G19" s="112"/>
      <c r="H19" s="113"/>
      <c r="I19" s="111"/>
      <c r="J19" s="111">
        <v>6</v>
      </c>
      <c r="K19" s="111"/>
      <c r="L19" s="112"/>
      <c r="M19" s="114"/>
      <c r="N19" s="68">
        <f t="shared" si="0"/>
        <v>180</v>
      </c>
      <c r="O19" s="69">
        <f t="shared" si="1"/>
        <v>6</v>
      </c>
      <c r="P19" s="69">
        <f t="shared" si="2"/>
        <v>60</v>
      </c>
      <c r="Q19" s="115"/>
      <c r="R19" s="115">
        <v>60</v>
      </c>
      <c r="S19" s="115"/>
      <c r="T19" s="70">
        <f t="shared" si="3"/>
        <v>120</v>
      </c>
      <c r="U19" s="68"/>
      <c r="V19" s="69"/>
      <c r="W19" s="69"/>
      <c r="X19" s="69"/>
      <c r="Y19" s="69">
        <v>3</v>
      </c>
      <c r="Z19" s="69">
        <v>3</v>
      </c>
      <c r="AA19" s="69"/>
      <c r="AB19" s="72"/>
    </row>
    <row r="20" spans="1:28" s="2" customFormat="1" ht="34.5" customHeight="1" thickBot="1">
      <c r="A20" s="281" t="s">
        <v>118</v>
      </c>
      <c r="B20" s="282"/>
      <c r="C20" s="316"/>
      <c r="D20" s="316"/>
      <c r="E20" s="316"/>
      <c r="F20" s="316"/>
      <c r="G20" s="317"/>
      <c r="H20" s="315"/>
      <c r="I20" s="316"/>
      <c r="J20" s="316"/>
      <c r="K20" s="316"/>
      <c r="L20" s="317"/>
      <c r="M20" s="117"/>
      <c r="N20" s="118">
        <f aca="true" t="shared" si="4" ref="N20:AB20">SUM(N11:N19)</f>
        <v>1350</v>
      </c>
      <c r="O20" s="119">
        <f t="shared" si="4"/>
        <v>45</v>
      </c>
      <c r="P20" s="119">
        <f t="shared" si="4"/>
        <v>450</v>
      </c>
      <c r="Q20" s="119">
        <f t="shared" si="4"/>
        <v>64</v>
      </c>
      <c r="R20" s="119">
        <f t="shared" si="4"/>
        <v>386</v>
      </c>
      <c r="S20" s="119">
        <f t="shared" si="4"/>
        <v>0</v>
      </c>
      <c r="T20" s="120">
        <f t="shared" si="4"/>
        <v>900</v>
      </c>
      <c r="U20" s="118">
        <f t="shared" si="4"/>
        <v>15</v>
      </c>
      <c r="V20" s="119">
        <f t="shared" si="4"/>
        <v>8</v>
      </c>
      <c r="W20" s="119">
        <f t="shared" si="4"/>
        <v>11</v>
      </c>
      <c r="X20" s="119">
        <f t="shared" si="4"/>
        <v>5</v>
      </c>
      <c r="Y20" s="119">
        <f t="shared" si="4"/>
        <v>3</v>
      </c>
      <c r="Z20" s="119">
        <f t="shared" si="4"/>
        <v>3</v>
      </c>
      <c r="AA20" s="119">
        <f t="shared" si="4"/>
        <v>0</v>
      </c>
      <c r="AB20" s="121">
        <f t="shared" si="4"/>
        <v>0</v>
      </c>
    </row>
    <row r="21" spans="1:28" s="184" customFormat="1" ht="19.5" customHeight="1" thickBot="1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20"/>
    </row>
    <row r="22" spans="1:28" s="184" customFormat="1" ht="34.5" customHeight="1">
      <c r="A22" s="302" t="s">
        <v>133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4"/>
    </row>
    <row r="23" spans="1:28" s="184" customFormat="1" ht="24.75" customHeight="1">
      <c r="A23" s="71" t="s">
        <v>168</v>
      </c>
      <c r="B23" s="124" t="s">
        <v>151</v>
      </c>
      <c r="C23" s="122"/>
      <c r="D23" s="122"/>
      <c r="E23" s="122">
        <v>1</v>
      </c>
      <c r="F23" s="122"/>
      <c r="G23" s="123"/>
      <c r="H23" s="114"/>
      <c r="I23" s="122"/>
      <c r="J23" s="122"/>
      <c r="K23" s="122"/>
      <c r="L23" s="123"/>
      <c r="M23" s="114"/>
      <c r="N23" s="68">
        <f aca="true" t="shared" si="5" ref="N23:N35">O23*30</f>
        <v>150</v>
      </c>
      <c r="O23" s="69">
        <f aca="true" t="shared" si="6" ref="O23:O33">SUM(U23:AB23)</f>
        <v>5</v>
      </c>
      <c r="P23" s="69">
        <f aca="true" t="shared" si="7" ref="P23:P33">O23*10</f>
        <v>50</v>
      </c>
      <c r="Q23" s="115">
        <v>20</v>
      </c>
      <c r="R23" s="115">
        <v>30</v>
      </c>
      <c r="S23" s="115"/>
      <c r="T23" s="70">
        <f aca="true" t="shared" si="8" ref="T23:T34">N23-P23</f>
        <v>100</v>
      </c>
      <c r="U23" s="68">
        <v>5</v>
      </c>
      <c r="V23" s="69"/>
      <c r="W23" s="69"/>
      <c r="X23" s="69"/>
      <c r="Y23" s="69"/>
      <c r="Z23" s="69"/>
      <c r="AA23" s="69"/>
      <c r="AB23" s="72"/>
    </row>
    <row r="24" spans="1:28" s="184" customFormat="1" ht="24.75" customHeight="1">
      <c r="A24" s="237" t="s">
        <v>169</v>
      </c>
      <c r="B24" s="238" t="s">
        <v>269</v>
      </c>
      <c r="C24" s="239"/>
      <c r="D24" s="239"/>
      <c r="E24" s="239">
        <v>1</v>
      </c>
      <c r="F24" s="239"/>
      <c r="G24" s="240"/>
      <c r="H24" s="241"/>
      <c r="I24" s="239"/>
      <c r="J24" s="239"/>
      <c r="K24" s="239"/>
      <c r="L24" s="240"/>
      <c r="M24" s="241"/>
      <c r="N24" s="242">
        <f t="shared" si="5"/>
        <v>150</v>
      </c>
      <c r="O24" s="243">
        <f t="shared" si="6"/>
        <v>5</v>
      </c>
      <c r="P24" s="243">
        <f t="shared" si="7"/>
        <v>50</v>
      </c>
      <c r="Q24" s="244">
        <v>20</v>
      </c>
      <c r="R24" s="244">
        <v>30</v>
      </c>
      <c r="S24" s="244"/>
      <c r="T24" s="245">
        <f t="shared" si="8"/>
        <v>100</v>
      </c>
      <c r="U24" s="242">
        <v>5</v>
      </c>
      <c r="V24" s="69"/>
      <c r="W24" s="69"/>
      <c r="X24" s="69"/>
      <c r="Y24" s="69"/>
      <c r="Z24" s="69"/>
      <c r="AA24" s="69"/>
      <c r="AB24" s="72"/>
    </row>
    <row r="25" spans="1:28" s="184" customFormat="1" ht="24.75" customHeight="1">
      <c r="A25" s="227" t="s">
        <v>170</v>
      </c>
      <c r="B25" s="228" t="s">
        <v>266</v>
      </c>
      <c r="C25" s="229"/>
      <c r="D25" s="229"/>
      <c r="E25" s="229"/>
      <c r="F25" s="229"/>
      <c r="G25" s="230"/>
      <c r="H25" s="231"/>
      <c r="I25" s="229"/>
      <c r="J25" s="229">
        <v>2</v>
      </c>
      <c r="K25" s="229"/>
      <c r="L25" s="230"/>
      <c r="M25" s="231"/>
      <c r="N25" s="232">
        <f t="shared" si="5"/>
        <v>90</v>
      </c>
      <c r="O25" s="233">
        <f t="shared" si="6"/>
        <v>3</v>
      </c>
      <c r="P25" s="233">
        <f t="shared" si="7"/>
        <v>30</v>
      </c>
      <c r="Q25" s="234">
        <v>10</v>
      </c>
      <c r="R25" s="234">
        <v>20</v>
      </c>
      <c r="S25" s="234"/>
      <c r="T25" s="235">
        <f t="shared" si="8"/>
        <v>60</v>
      </c>
      <c r="U25" s="232"/>
      <c r="V25" s="233">
        <v>3</v>
      </c>
      <c r="W25" s="69"/>
      <c r="X25" s="69"/>
      <c r="Y25" s="69"/>
      <c r="Z25" s="69"/>
      <c r="AA25" s="69"/>
      <c r="AB25" s="72"/>
    </row>
    <row r="26" spans="1:28" s="184" customFormat="1" ht="24.75" customHeight="1">
      <c r="A26" s="71" t="s">
        <v>171</v>
      </c>
      <c r="B26" s="124" t="s">
        <v>152</v>
      </c>
      <c r="C26" s="122"/>
      <c r="D26" s="122"/>
      <c r="E26" s="122">
        <v>2</v>
      </c>
      <c r="F26" s="122"/>
      <c r="G26" s="123"/>
      <c r="H26" s="114"/>
      <c r="I26" s="122"/>
      <c r="J26" s="122"/>
      <c r="K26" s="122"/>
      <c r="L26" s="123"/>
      <c r="M26" s="114"/>
      <c r="N26" s="68">
        <f t="shared" si="5"/>
        <v>120</v>
      </c>
      <c r="O26" s="69">
        <f t="shared" si="6"/>
        <v>4</v>
      </c>
      <c r="P26" s="69">
        <f t="shared" si="7"/>
        <v>40</v>
      </c>
      <c r="Q26" s="115">
        <v>10</v>
      </c>
      <c r="R26" s="115">
        <v>30</v>
      </c>
      <c r="S26" s="115"/>
      <c r="T26" s="70">
        <f t="shared" si="8"/>
        <v>80</v>
      </c>
      <c r="U26" s="68"/>
      <c r="V26" s="69">
        <v>4</v>
      </c>
      <c r="W26" s="69"/>
      <c r="X26" s="69"/>
      <c r="Y26" s="69"/>
      <c r="Z26" s="69"/>
      <c r="AA26" s="69"/>
      <c r="AB26" s="72"/>
    </row>
    <row r="27" spans="1:28" s="184" customFormat="1" ht="24.75" customHeight="1">
      <c r="A27" s="227" t="s">
        <v>172</v>
      </c>
      <c r="B27" s="236" t="s">
        <v>214</v>
      </c>
      <c r="C27" s="229"/>
      <c r="D27" s="229"/>
      <c r="E27" s="229">
        <v>2</v>
      </c>
      <c r="F27" s="229"/>
      <c r="G27" s="230"/>
      <c r="H27" s="231"/>
      <c r="I27" s="229"/>
      <c r="J27" s="229"/>
      <c r="K27" s="229"/>
      <c r="L27" s="230"/>
      <c r="M27" s="231"/>
      <c r="N27" s="232">
        <f>O27*30</f>
        <v>150</v>
      </c>
      <c r="O27" s="233">
        <f>SUM(U27:AB27)</f>
        <v>5</v>
      </c>
      <c r="P27" s="233">
        <f>O27*10</f>
        <v>50</v>
      </c>
      <c r="Q27" s="234">
        <v>20</v>
      </c>
      <c r="R27" s="234">
        <v>30</v>
      </c>
      <c r="S27" s="234"/>
      <c r="T27" s="235">
        <f>N27-P27</f>
        <v>100</v>
      </c>
      <c r="U27" s="232"/>
      <c r="V27" s="233">
        <v>5</v>
      </c>
      <c r="W27" s="69"/>
      <c r="X27" s="69"/>
      <c r="Y27" s="69"/>
      <c r="Z27" s="69"/>
      <c r="AA27" s="69"/>
      <c r="AB27" s="72"/>
    </row>
    <row r="28" spans="1:28" s="184" customFormat="1" ht="24.75" customHeight="1">
      <c r="A28" s="71" t="s">
        <v>173</v>
      </c>
      <c r="B28" s="124" t="s">
        <v>270</v>
      </c>
      <c r="C28" s="122"/>
      <c r="D28" s="122"/>
      <c r="E28" s="122"/>
      <c r="F28" s="122"/>
      <c r="G28" s="123"/>
      <c r="H28" s="114"/>
      <c r="I28" s="122"/>
      <c r="J28" s="122">
        <v>3</v>
      </c>
      <c r="K28" s="122"/>
      <c r="L28" s="123"/>
      <c r="M28" s="114"/>
      <c r="N28" s="68">
        <f t="shared" si="5"/>
        <v>120</v>
      </c>
      <c r="O28" s="69">
        <f t="shared" si="6"/>
        <v>4</v>
      </c>
      <c r="P28" s="69">
        <f t="shared" si="7"/>
        <v>40</v>
      </c>
      <c r="Q28" s="115">
        <v>10</v>
      </c>
      <c r="R28" s="115">
        <v>30</v>
      </c>
      <c r="S28" s="115"/>
      <c r="T28" s="70">
        <f t="shared" si="8"/>
        <v>80</v>
      </c>
      <c r="U28" s="68"/>
      <c r="V28" s="69"/>
      <c r="W28" s="69">
        <v>4</v>
      </c>
      <c r="X28" s="69"/>
      <c r="Y28" s="69"/>
      <c r="Z28" s="69"/>
      <c r="AA28" s="69"/>
      <c r="AB28" s="72"/>
    </row>
    <row r="29" spans="1:28" s="184" customFormat="1" ht="24.75" customHeight="1">
      <c r="A29" s="71" t="s">
        <v>174</v>
      </c>
      <c r="B29" s="124" t="s">
        <v>254</v>
      </c>
      <c r="C29" s="122"/>
      <c r="D29" s="122"/>
      <c r="E29" s="122"/>
      <c r="F29" s="122"/>
      <c r="G29" s="123"/>
      <c r="H29" s="114"/>
      <c r="I29" s="122"/>
      <c r="J29" s="122">
        <v>3</v>
      </c>
      <c r="K29" s="122"/>
      <c r="L29" s="123"/>
      <c r="M29" s="114"/>
      <c r="N29" s="68">
        <f t="shared" si="5"/>
        <v>90</v>
      </c>
      <c r="O29" s="69">
        <f t="shared" si="6"/>
        <v>3</v>
      </c>
      <c r="P29" s="69">
        <f t="shared" si="7"/>
        <v>30</v>
      </c>
      <c r="Q29" s="115">
        <v>10</v>
      </c>
      <c r="R29" s="115">
        <v>20</v>
      </c>
      <c r="S29" s="115"/>
      <c r="T29" s="70">
        <f t="shared" si="8"/>
        <v>60</v>
      </c>
      <c r="U29" s="68"/>
      <c r="V29" s="69"/>
      <c r="W29" s="69">
        <v>3</v>
      </c>
      <c r="X29" s="69"/>
      <c r="Y29" s="69"/>
      <c r="Z29" s="69"/>
      <c r="AA29" s="69"/>
      <c r="AB29" s="72"/>
    </row>
    <row r="30" spans="1:28" s="184" customFormat="1" ht="24.75" customHeight="1">
      <c r="A30" s="71" t="s">
        <v>175</v>
      </c>
      <c r="B30" s="110" t="s">
        <v>153</v>
      </c>
      <c r="C30" s="122"/>
      <c r="D30" s="122"/>
      <c r="E30" s="122"/>
      <c r="F30" s="122"/>
      <c r="G30" s="123"/>
      <c r="H30" s="114"/>
      <c r="I30" s="122"/>
      <c r="J30" s="122">
        <v>4</v>
      </c>
      <c r="K30" s="122"/>
      <c r="L30" s="123"/>
      <c r="M30" s="114"/>
      <c r="N30" s="68">
        <f t="shared" si="5"/>
        <v>90</v>
      </c>
      <c r="O30" s="69">
        <f t="shared" si="6"/>
        <v>3</v>
      </c>
      <c r="P30" s="69">
        <f t="shared" si="7"/>
        <v>30</v>
      </c>
      <c r="Q30" s="115">
        <v>10</v>
      </c>
      <c r="R30" s="115">
        <v>20</v>
      </c>
      <c r="S30" s="115"/>
      <c r="T30" s="70">
        <f t="shared" si="8"/>
        <v>60</v>
      </c>
      <c r="U30" s="147"/>
      <c r="V30" s="148"/>
      <c r="W30" s="148"/>
      <c r="X30" s="148">
        <v>3</v>
      </c>
      <c r="Y30" s="148"/>
      <c r="Z30" s="148"/>
      <c r="AA30" s="148"/>
      <c r="AB30" s="149"/>
    </row>
    <row r="31" spans="1:28" s="184" customFormat="1" ht="24.75" customHeight="1">
      <c r="A31" s="71" t="s">
        <v>176</v>
      </c>
      <c r="B31" s="110" t="s">
        <v>256</v>
      </c>
      <c r="C31" s="122"/>
      <c r="D31" s="122"/>
      <c r="E31" s="122"/>
      <c r="F31" s="122"/>
      <c r="G31" s="123"/>
      <c r="H31" s="114"/>
      <c r="I31" s="122"/>
      <c r="J31" s="122">
        <v>4</v>
      </c>
      <c r="K31" s="122"/>
      <c r="L31" s="123"/>
      <c r="M31" s="114"/>
      <c r="N31" s="68">
        <f t="shared" si="5"/>
        <v>150</v>
      </c>
      <c r="O31" s="69">
        <f t="shared" si="6"/>
        <v>5</v>
      </c>
      <c r="P31" s="69">
        <f t="shared" si="7"/>
        <v>50</v>
      </c>
      <c r="Q31" s="115">
        <v>20</v>
      </c>
      <c r="R31" s="115">
        <v>30</v>
      </c>
      <c r="S31" s="115"/>
      <c r="T31" s="70">
        <f t="shared" si="8"/>
        <v>100</v>
      </c>
      <c r="U31" s="147"/>
      <c r="V31" s="148"/>
      <c r="W31" s="148"/>
      <c r="X31" s="148">
        <v>5</v>
      </c>
      <c r="Y31" s="148"/>
      <c r="Z31" s="148"/>
      <c r="AA31" s="148"/>
      <c r="AB31" s="149"/>
    </row>
    <row r="32" spans="1:28" s="184" customFormat="1" ht="24.75" customHeight="1">
      <c r="A32" s="71" t="s">
        <v>177</v>
      </c>
      <c r="B32" s="110" t="s">
        <v>255</v>
      </c>
      <c r="C32" s="122"/>
      <c r="D32" s="122"/>
      <c r="E32" s="122"/>
      <c r="F32" s="122"/>
      <c r="G32" s="123"/>
      <c r="H32" s="114"/>
      <c r="I32" s="122"/>
      <c r="J32" s="122">
        <v>5</v>
      </c>
      <c r="K32" s="122"/>
      <c r="L32" s="123"/>
      <c r="M32" s="114"/>
      <c r="N32" s="68">
        <f t="shared" si="5"/>
        <v>90</v>
      </c>
      <c r="O32" s="69">
        <f t="shared" si="6"/>
        <v>3</v>
      </c>
      <c r="P32" s="69">
        <f t="shared" si="7"/>
        <v>30</v>
      </c>
      <c r="Q32" s="115">
        <v>10</v>
      </c>
      <c r="R32" s="115">
        <v>20</v>
      </c>
      <c r="S32" s="115"/>
      <c r="T32" s="70">
        <f t="shared" si="8"/>
        <v>60</v>
      </c>
      <c r="U32" s="147"/>
      <c r="V32" s="148"/>
      <c r="W32" s="148"/>
      <c r="X32" s="148"/>
      <c r="Y32" s="148">
        <v>3</v>
      </c>
      <c r="Z32" s="148"/>
      <c r="AA32" s="148"/>
      <c r="AB32" s="149"/>
    </row>
    <row r="33" spans="1:28" s="184" customFormat="1" ht="24.75" customHeight="1">
      <c r="A33" s="71" t="s">
        <v>178</v>
      </c>
      <c r="B33" s="110" t="s">
        <v>257</v>
      </c>
      <c r="C33" s="122"/>
      <c r="D33" s="122"/>
      <c r="E33" s="122"/>
      <c r="F33" s="122"/>
      <c r="G33" s="123"/>
      <c r="H33" s="114"/>
      <c r="I33" s="122"/>
      <c r="J33" s="122">
        <v>6</v>
      </c>
      <c r="K33" s="122"/>
      <c r="L33" s="123"/>
      <c r="M33" s="114"/>
      <c r="N33" s="68">
        <f t="shared" si="5"/>
        <v>90</v>
      </c>
      <c r="O33" s="69">
        <f t="shared" si="6"/>
        <v>3</v>
      </c>
      <c r="P33" s="69">
        <f t="shared" si="7"/>
        <v>30</v>
      </c>
      <c r="Q33" s="115">
        <v>10</v>
      </c>
      <c r="R33" s="115">
        <v>20</v>
      </c>
      <c r="S33" s="115"/>
      <c r="T33" s="70">
        <f t="shared" si="8"/>
        <v>60</v>
      </c>
      <c r="U33" s="147"/>
      <c r="V33" s="148"/>
      <c r="W33" s="148"/>
      <c r="X33" s="148"/>
      <c r="Y33" s="148"/>
      <c r="Z33" s="148">
        <v>3</v>
      </c>
      <c r="AA33" s="148"/>
      <c r="AB33" s="149"/>
    </row>
    <row r="34" spans="1:28" s="184" customFormat="1" ht="24.75" customHeight="1">
      <c r="A34" s="71" t="s">
        <v>179</v>
      </c>
      <c r="B34" s="125" t="s">
        <v>265</v>
      </c>
      <c r="C34" s="122"/>
      <c r="D34" s="122"/>
      <c r="E34" s="122"/>
      <c r="F34" s="122"/>
      <c r="G34" s="123"/>
      <c r="H34" s="114"/>
      <c r="I34" s="122"/>
      <c r="J34" s="122">
        <v>7</v>
      </c>
      <c r="K34" s="122"/>
      <c r="L34" s="123"/>
      <c r="M34" s="114"/>
      <c r="N34" s="68">
        <f t="shared" si="5"/>
        <v>90</v>
      </c>
      <c r="O34" s="69">
        <v>3</v>
      </c>
      <c r="P34" s="69">
        <v>30</v>
      </c>
      <c r="Q34" s="115">
        <v>10</v>
      </c>
      <c r="R34" s="115">
        <v>20</v>
      </c>
      <c r="S34" s="115"/>
      <c r="T34" s="70">
        <f t="shared" si="8"/>
        <v>60</v>
      </c>
      <c r="U34" s="68"/>
      <c r="V34" s="69"/>
      <c r="W34" s="69"/>
      <c r="X34" s="69"/>
      <c r="Y34" s="69"/>
      <c r="Z34" s="69"/>
      <c r="AA34" s="69">
        <v>3</v>
      </c>
      <c r="AB34" s="72"/>
    </row>
    <row r="35" spans="1:28" s="184" customFormat="1" ht="24.75" customHeight="1">
      <c r="A35" s="71" t="s">
        <v>180</v>
      </c>
      <c r="B35" s="125" t="s">
        <v>258</v>
      </c>
      <c r="C35" s="122"/>
      <c r="D35" s="122"/>
      <c r="E35" s="122"/>
      <c r="F35" s="122"/>
      <c r="G35" s="123"/>
      <c r="H35" s="114"/>
      <c r="I35" s="122"/>
      <c r="J35" s="122">
        <v>8</v>
      </c>
      <c r="K35" s="122"/>
      <c r="L35" s="123"/>
      <c r="M35" s="114"/>
      <c r="N35" s="68">
        <f t="shared" si="5"/>
        <v>90</v>
      </c>
      <c r="O35" s="69">
        <v>3</v>
      </c>
      <c r="P35" s="69">
        <v>30</v>
      </c>
      <c r="Q35" s="115">
        <v>10</v>
      </c>
      <c r="R35" s="115">
        <v>20</v>
      </c>
      <c r="S35" s="115"/>
      <c r="T35" s="70">
        <v>60</v>
      </c>
      <c r="U35" s="68"/>
      <c r="V35" s="69"/>
      <c r="W35" s="69"/>
      <c r="X35" s="69"/>
      <c r="Y35" s="69"/>
      <c r="Z35" s="69"/>
      <c r="AA35" s="69"/>
      <c r="AB35" s="72">
        <v>3</v>
      </c>
    </row>
    <row r="36" spans="1:28" s="184" customFormat="1" ht="24.75" customHeight="1">
      <c r="A36" s="71" t="s">
        <v>181</v>
      </c>
      <c r="B36" s="124" t="s">
        <v>212</v>
      </c>
      <c r="C36" s="122"/>
      <c r="D36" s="122"/>
      <c r="E36" s="122">
        <v>3</v>
      </c>
      <c r="F36" s="122"/>
      <c r="G36" s="123"/>
      <c r="H36" s="114"/>
      <c r="I36" s="122"/>
      <c r="J36" s="122"/>
      <c r="K36" s="122"/>
      <c r="L36" s="123"/>
      <c r="M36" s="114"/>
      <c r="N36" s="68">
        <f aca="true" t="shared" si="9" ref="N36:N43">O36*30</f>
        <v>120</v>
      </c>
      <c r="O36" s="69">
        <f aca="true" t="shared" si="10" ref="O36:O43">SUM(U36:AB36)</f>
        <v>4</v>
      </c>
      <c r="P36" s="69">
        <f aca="true" t="shared" si="11" ref="P36:P43">O36*10</f>
        <v>40</v>
      </c>
      <c r="Q36" s="115">
        <v>8</v>
      </c>
      <c r="R36" s="115">
        <v>8</v>
      </c>
      <c r="S36" s="115">
        <v>24</v>
      </c>
      <c r="T36" s="70">
        <f aca="true" t="shared" si="12" ref="T36:T43">N36-P36</f>
        <v>80</v>
      </c>
      <c r="U36" s="147"/>
      <c r="V36" s="148"/>
      <c r="W36" s="148">
        <v>4</v>
      </c>
      <c r="X36" s="148"/>
      <c r="Y36" s="148"/>
      <c r="Z36" s="148"/>
      <c r="AA36" s="148"/>
      <c r="AB36" s="149"/>
    </row>
    <row r="37" spans="1:28" s="184" customFormat="1" ht="24.75" customHeight="1">
      <c r="A37" s="71" t="s">
        <v>182</v>
      </c>
      <c r="B37" s="124" t="s">
        <v>211</v>
      </c>
      <c r="C37" s="122"/>
      <c r="D37" s="122"/>
      <c r="E37" s="122">
        <v>4</v>
      </c>
      <c r="F37" s="122"/>
      <c r="G37" s="123"/>
      <c r="H37" s="114"/>
      <c r="I37" s="122"/>
      <c r="J37" s="122"/>
      <c r="K37" s="122"/>
      <c r="L37" s="123"/>
      <c r="M37" s="114"/>
      <c r="N37" s="68">
        <f t="shared" si="9"/>
        <v>120</v>
      </c>
      <c r="O37" s="69">
        <f t="shared" si="10"/>
        <v>4</v>
      </c>
      <c r="P37" s="69">
        <f t="shared" si="11"/>
        <v>40</v>
      </c>
      <c r="Q37" s="115">
        <v>8</v>
      </c>
      <c r="R37" s="115">
        <v>8</v>
      </c>
      <c r="S37" s="115">
        <v>24</v>
      </c>
      <c r="T37" s="70">
        <f t="shared" si="12"/>
        <v>80</v>
      </c>
      <c r="U37" s="147"/>
      <c r="V37" s="148"/>
      <c r="W37" s="148"/>
      <c r="X37" s="148">
        <v>4</v>
      </c>
      <c r="Y37" s="148"/>
      <c r="Z37" s="148"/>
      <c r="AA37" s="148"/>
      <c r="AB37" s="149"/>
    </row>
    <row r="38" spans="1:28" s="184" customFormat="1" ht="24.75" customHeight="1">
      <c r="A38" s="71" t="s">
        <v>183</v>
      </c>
      <c r="B38" s="124" t="s">
        <v>204</v>
      </c>
      <c r="C38" s="122"/>
      <c r="D38" s="122"/>
      <c r="E38" s="122">
        <v>5</v>
      </c>
      <c r="F38" s="122"/>
      <c r="G38" s="123"/>
      <c r="H38" s="114"/>
      <c r="I38" s="122"/>
      <c r="J38" s="122"/>
      <c r="K38" s="122"/>
      <c r="L38" s="123"/>
      <c r="M38" s="114"/>
      <c r="N38" s="68">
        <f t="shared" si="9"/>
        <v>120</v>
      </c>
      <c r="O38" s="69">
        <f t="shared" si="10"/>
        <v>4</v>
      </c>
      <c r="P38" s="69">
        <f t="shared" si="11"/>
        <v>40</v>
      </c>
      <c r="Q38" s="115">
        <v>8</v>
      </c>
      <c r="R38" s="115">
        <v>8</v>
      </c>
      <c r="S38" s="115">
        <v>24</v>
      </c>
      <c r="T38" s="70">
        <f t="shared" si="12"/>
        <v>80</v>
      </c>
      <c r="U38" s="147"/>
      <c r="V38" s="148"/>
      <c r="W38" s="148"/>
      <c r="X38" s="148"/>
      <c r="Y38" s="148">
        <v>4</v>
      </c>
      <c r="Z38" s="148"/>
      <c r="AA38" s="148"/>
      <c r="AB38" s="149"/>
    </row>
    <row r="39" spans="1:28" s="184" customFormat="1" ht="24.75" customHeight="1">
      <c r="A39" s="71" t="s">
        <v>184</v>
      </c>
      <c r="B39" s="125" t="s">
        <v>205</v>
      </c>
      <c r="C39" s="122"/>
      <c r="D39" s="122"/>
      <c r="E39" s="122">
        <v>6</v>
      </c>
      <c r="F39" s="122"/>
      <c r="G39" s="123"/>
      <c r="H39" s="114"/>
      <c r="I39" s="122"/>
      <c r="J39" s="122"/>
      <c r="K39" s="122"/>
      <c r="L39" s="123"/>
      <c r="M39" s="114"/>
      <c r="N39" s="68">
        <f t="shared" si="9"/>
        <v>120</v>
      </c>
      <c r="O39" s="69">
        <f t="shared" si="10"/>
        <v>4</v>
      </c>
      <c r="P39" s="69">
        <f t="shared" si="11"/>
        <v>40</v>
      </c>
      <c r="Q39" s="115">
        <v>8</v>
      </c>
      <c r="R39" s="115">
        <v>8</v>
      </c>
      <c r="S39" s="115">
        <v>24</v>
      </c>
      <c r="T39" s="70">
        <f t="shared" si="12"/>
        <v>80</v>
      </c>
      <c r="U39" s="147"/>
      <c r="V39" s="148"/>
      <c r="W39" s="148"/>
      <c r="X39" s="148"/>
      <c r="Y39" s="148"/>
      <c r="Z39" s="148">
        <v>4</v>
      </c>
      <c r="AA39" s="148"/>
      <c r="AB39" s="149"/>
    </row>
    <row r="40" spans="1:28" s="184" customFormat="1" ht="24.75" customHeight="1">
      <c r="A40" s="71" t="s">
        <v>185</v>
      </c>
      <c r="B40" s="124" t="s">
        <v>202</v>
      </c>
      <c r="C40" s="122"/>
      <c r="D40" s="122"/>
      <c r="E40" s="122"/>
      <c r="F40" s="122"/>
      <c r="G40" s="123"/>
      <c r="H40" s="114"/>
      <c r="I40" s="122"/>
      <c r="J40" s="122">
        <v>7</v>
      </c>
      <c r="K40" s="122"/>
      <c r="L40" s="123"/>
      <c r="M40" s="114"/>
      <c r="N40" s="68">
        <f t="shared" si="9"/>
        <v>120</v>
      </c>
      <c r="O40" s="69">
        <f t="shared" si="10"/>
        <v>4</v>
      </c>
      <c r="P40" s="69">
        <f t="shared" si="11"/>
        <v>40</v>
      </c>
      <c r="Q40" s="115">
        <v>8</v>
      </c>
      <c r="R40" s="115">
        <v>8</v>
      </c>
      <c r="S40" s="115">
        <v>24</v>
      </c>
      <c r="T40" s="70">
        <f t="shared" si="12"/>
        <v>80</v>
      </c>
      <c r="U40" s="147"/>
      <c r="V40" s="148"/>
      <c r="W40" s="148"/>
      <c r="X40" s="148"/>
      <c r="Y40" s="148"/>
      <c r="Z40" s="148"/>
      <c r="AA40" s="148">
        <v>4</v>
      </c>
      <c r="AB40" s="149"/>
    </row>
    <row r="41" spans="1:28" s="184" customFormat="1" ht="24.75" customHeight="1">
      <c r="A41" s="71" t="s">
        <v>186</v>
      </c>
      <c r="B41" s="124" t="s">
        <v>213</v>
      </c>
      <c r="C41" s="122"/>
      <c r="D41" s="122"/>
      <c r="E41" s="122"/>
      <c r="F41" s="122"/>
      <c r="G41" s="123"/>
      <c r="H41" s="114"/>
      <c r="I41" s="122"/>
      <c r="J41" s="122">
        <v>8</v>
      </c>
      <c r="K41" s="122"/>
      <c r="L41" s="123"/>
      <c r="M41" s="114"/>
      <c r="N41" s="68">
        <f t="shared" si="9"/>
        <v>150</v>
      </c>
      <c r="O41" s="69">
        <f t="shared" si="10"/>
        <v>5</v>
      </c>
      <c r="P41" s="69">
        <f t="shared" si="11"/>
        <v>50</v>
      </c>
      <c r="Q41" s="115">
        <v>10</v>
      </c>
      <c r="R41" s="115"/>
      <c r="S41" s="115">
        <v>40</v>
      </c>
      <c r="T41" s="70">
        <f t="shared" si="12"/>
        <v>100</v>
      </c>
      <c r="U41" s="147"/>
      <c r="V41" s="148"/>
      <c r="W41" s="148"/>
      <c r="X41" s="148"/>
      <c r="Y41" s="148"/>
      <c r="Z41" s="148"/>
      <c r="AA41" s="148"/>
      <c r="AB41" s="149">
        <v>5</v>
      </c>
    </row>
    <row r="42" spans="1:28" s="184" customFormat="1" ht="24.75" customHeight="1">
      <c r="A42" s="71" t="s">
        <v>203</v>
      </c>
      <c r="B42" s="124" t="s">
        <v>155</v>
      </c>
      <c r="C42" s="122"/>
      <c r="D42" s="122"/>
      <c r="E42" s="122">
        <v>7</v>
      </c>
      <c r="F42" s="122"/>
      <c r="G42" s="123"/>
      <c r="H42" s="114"/>
      <c r="I42" s="122">
        <v>5</v>
      </c>
      <c r="J42" s="122"/>
      <c r="K42" s="122">
        <v>6</v>
      </c>
      <c r="L42" s="123"/>
      <c r="M42" s="114"/>
      <c r="N42" s="68">
        <f t="shared" si="9"/>
        <v>420</v>
      </c>
      <c r="O42" s="69">
        <f t="shared" si="10"/>
        <v>14</v>
      </c>
      <c r="P42" s="69">
        <f t="shared" si="11"/>
        <v>140</v>
      </c>
      <c r="Q42" s="115">
        <v>40</v>
      </c>
      <c r="R42" s="115">
        <v>40</v>
      </c>
      <c r="S42" s="115">
        <v>60</v>
      </c>
      <c r="T42" s="70">
        <f t="shared" si="12"/>
        <v>280</v>
      </c>
      <c r="U42" s="147"/>
      <c r="V42" s="148"/>
      <c r="W42" s="148"/>
      <c r="X42" s="148"/>
      <c r="Y42" s="148">
        <v>5</v>
      </c>
      <c r="Z42" s="148">
        <v>4</v>
      </c>
      <c r="AA42" s="148">
        <v>5</v>
      </c>
      <c r="AB42" s="149"/>
    </row>
    <row r="43" spans="1:28" s="184" customFormat="1" ht="24.75" customHeight="1">
      <c r="A43" s="71" t="s">
        <v>187</v>
      </c>
      <c r="B43" s="124" t="s">
        <v>154</v>
      </c>
      <c r="C43" s="122"/>
      <c r="D43" s="122"/>
      <c r="E43" s="122">
        <v>7</v>
      </c>
      <c r="F43" s="122"/>
      <c r="G43" s="123"/>
      <c r="H43" s="114"/>
      <c r="I43" s="122">
        <v>5</v>
      </c>
      <c r="J43" s="122"/>
      <c r="K43" s="122">
        <v>6</v>
      </c>
      <c r="L43" s="123"/>
      <c r="M43" s="114"/>
      <c r="N43" s="68">
        <f t="shared" si="9"/>
        <v>330</v>
      </c>
      <c r="O43" s="69">
        <f t="shared" si="10"/>
        <v>11</v>
      </c>
      <c r="P43" s="69">
        <f t="shared" si="11"/>
        <v>110</v>
      </c>
      <c r="Q43" s="115">
        <v>20</v>
      </c>
      <c r="R43" s="115">
        <v>90</v>
      </c>
      <c r="S43" s="115"/>
      <c r="T43" s="70">
        <f t="shared" si="12"/>
        <v>220</v>
      </c>
      <c r="U43" s="147"/>
      <c r="V43" s="148"/>
      <c r="W43" s="148"/>
      <c r="X43" s="148"/>
      <c r="Y43" s="148">
        <v>4</v>
      </c>
      <c r="Z43" s="148">
        <v>3</v>
      </c>
      <c r="AA43" s="148">
        <v>4</v>
      </c>
      <c r="AB43" s="149"/>
    </row>
    <row r="44" spans="1:28" s="2" customFormat="1" ht="34.5" customHeight="1" thickBot="1">
      <c r="A44" s="281" t="s">
        <v>119</v>
      </c>
      <c r="B44" s="282"/>
      <c r="C44" s="316"/>
      <c r="D44" s="316"/>
      <c r="E44" s="316"/>
      <c r="F44" s="316"/>
      <c r="G44" s="317"/>
      <c r="H44" s="315"/>
      <c r="I44" s="316"/>
      <c r="J44" s="316"/>
      <c r="K44" s="316"/>
      <c r="L44" s="317"/>
      <c r="M44" s="117"/>
      <c r="N44" s="118">
        <f aca="true" t="shared" si="13" ref="N44:AB44">SUM(N23:N43)</f>
        <v>2970</v>
      </c>
      <c r="O44" s="119">
        <f t="shared" si="13"/>
        <v>99</v>
      </c>
      <c r="P44" s="119">
        <f t="shared" si="13"/>
        <v>990</v>
      </c>
      <c r="Q44" s="119">
        <f t="shared" si="13"/>
        <v>280</v>
      </c>
      <c r="R44" s="119">
        <f t="shared" si="13"/>
        <v>490</v>
      </c>
      <c r="S44" s="119">
        <f t="shared" si="13"/>
        <v>220</v>
      </c>
      <c r="T44" s="120">
        <f t="shared" si="13"/>
        <v>1980</v>
      </c>
      <c r="U44" s="118">
        <f t="shared" si="13"/>
        <v>10</v>
      </c>
      <c r="V44" s="119">
        <f t="shared" si="13"/>
        <v>12</v>
      </c>
      <c r="W44" s="119">
        <f t="shared" si="13"/>
        <v>11</v>
      </c>
      <c r="X44" s="119">
        <f t="shared" si="13"/>
        <v>12</v>
      </c>
      <c r="Y44" s="119">
        <f t="shared" si="13"/>
        <v>16</v>
      </c>
      <c r="Z44" s="119">
        <f t="shared" si="13"/>
        <v>14</v>
      </c>
      <c r="AA44" s="119">
        <f t="shared" si="13"/>
        <v>16</v>
      </c>
      <c r="AB44" s="121">
        <f t="shared" si="13"/>
        <v>8</v>
      </c>
    </row>
    <row r="45" spans="1:28" s="184" customFormat="1" ht="19.5" customHeight="1" thickBot="1">
      <c r="A45" s="318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20"/>
    </row>
    <row r="46" spans="1:28" s="184" customFormat="1" ht="34.5" customHeight="1">
      <c r="A46" s="331" t="s">
        <v>122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3"/>
    </row>
    <row r="47" spans="1:28" s="184" customFormat="1" ht="24.75" customHeight="1">
      <c r="A47" s="71" t="s">
        <v>188</v>
      </c>
      <c r="B47" s="124" t="s">
        <v>215</v>
      </c>
      <c r="C47" s="126"/>
      <c r="D47" s="126"/>
      <c r="E47" s="126"/>
      <c r="F47" s="126"/>
      <c r="G47" s="127"/>
      <c r="H47" s="128"/>
      <c r="I47" s="126"/>
      <c r="J47" s="126"/>
      <c r="K47" s="126"/>
      <c r="L47" s="127"/>
      <c r="M47" s="128">
        <v>5</v>
      </c>
      <c r="N47" s="71">
        <f>O47*30</f>
        <v>90</v>
      </c>
      <c r="O47" s="69">
        <f>SUM(U47:AB47)</f>
        <v>3</v>
      </c>
      <c r="P47" s="69">
        <v>0</v>
      </c>
      <c r="Q47" s="129"/>
      <c r="R47" s="129"/>
      <c r="S47" s="129"/>
      <c r="T47" s="70">
        <f>N47-P47</f>
        <v>90</v>
      </c>
      <c r="U47" s="147"/>
      <c r="V47" s="148"/>
      <c r="W47" s="148"/>
      <c r="X47" s="148"/>
      <c r="Y47" s="148">
        <v>3</v>
      </c>
      <c r="Z47" s="148"/>
      <c r="AA47" s="148"/>
      <c r="AB47" s="149"/>
    </row>
    <row r="48" spans="1:28" s="3" customFormat="1" ht="34.5" customHeight="1" thickBot="1">
      <c r="A48" s="281" t="s">
        <v>120</v>
      </c>
      <c r="B48" s="282"/>
      <c r="C48" s="283"/>
      <c r="D48" s="283"/>
      <c r="E48" s="283"/>
      <c r="F48" s="283"/>
      <c r="G48" s="284"/>
      <c r="H48" s="285"/>
      <c r="I48" s="283"/>
      <c r="J48" s="283"/>
      <c r="K48" s="283"/>
      <c r="L48" s="284"/>
      <c r="M48" s="130"/>
      <c r="N48" s="118">
        <f aca="true" t="shared" si="14" ref="N48:AB48">SUM(N47:N47)</f>
        <v>90</v>
      </c>
      <c r="O48" s="119">
        <f t="shared" si="14"/>
        <v>3</v>
      </c>
      <c r="P48" s="119">
        <f t="shared" si="14"/>
        <v>0</v>
      </c>
      <c r="Q48" s="119">
        <f t="shared" si="14"/>
        <v>0</v>
      </c>
      <c r="R48" s="119">
        <f t="shared" si="14"/>
        <v>0</v>
      </c>
      <c r="S48" s="119">
        <f t="shared" si="14"/>
        <v>0</v>
      </c>
      <c r="T48" s="121">
        <f t="shared" si="14"/>
        <v>90</v>
      </c>
      <c r="U48" s="118">
        <f t="shared" si="14"/>
        <v>0</v>
      </c>
      <c r="V48" s="119">
        <f t="shared" si="14"/>
        <v>0</v>
      </c>
      <c r="W48" s="119">
        <f t="shared" si="14"/>
        <v>0</v>
      </c>
      <c r="X48" s="119">
        <f t="shared" si="14"/>
        <v>0</v>
      </c>
      <c r="Y48" s="119">
        <f t="shared" si="14"/>
        <v>3</v>
      </c>
      <c r="Z48" s="119">
        <f t="shared" si="14"/>
        <v>0</v>
      </c>
      <c r="AA48" s="119">
        <f t="shared" si="14"/>
        <v>0</v>
      </c>
      <c r="AB48" s="121">
        <f t="shared" si="14"/>
        <v>0</v>
      </c>
    </row>
    <row r="49" spans="1:28" s="184" customFormat="1" ht="19.5" customHeight="1" thickBot="1">
      <c r="A49" s="343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5"/>
    </row>
    <row r="50" spans="1:28" s="184" customFormat="1" ht="34.5" customHeight="1" thickBot="1">
      <c r="A50" s="278" t="s">
        <v>121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80"/>
    </row>
    <row r="51" spans="1:28" ht="24.75" customHeight="1">
      <c r="A51" s="131" t="s">
        <v>189</v>
      </c>
      <c r="B51" s="132" t="s">
        <v>241</v>
      </c>
      <c r="C51" s="133"/>
      <c r="D51" s="134"/>
      <c r="E51" s="134"/>
      <c r="F51" s="134"/>
      <c r="G51" s="135"/>
      <c r="H51" s="136"/>
      <c r="I51" s="134"/>
      <c r="J51" s="134">
        <v>3</v>
      </c>
      <c r="K51" s="134"/>
      <c r="L51" s="135"/>
      <c r="M51" s="137"/>
      <c r="N51" s="71">
        <f aca="true" t="shared" si="15" ref="N51:N57">O51*30</f>
        <v>90</v>
      </c>
      <c r="O51" s="69">
        <f aca="true" t="shared" si="16" ref="O51:O57">SUM(U51:AB51)</f>
        <v>3</v>
      </c>
      <c r="P51" s="69">
        <v>0</v>
      </c>
      <c r="Q51" s="138"/>
      <c r="R51" s="138"/>
      <c r="S51" s="138"/>
      <c r="T51" s="72">
        <f aca="true" t="shared" si="17" ref="T51:T57">N51-P51</f>
        <v>90</v>
      </c>
      <c r="U51" s="190"/>
      <c r="V51" s="191"/>
      <c r="W51" s="191">
        <v>3</v>
      </c>
      <c r="X51" s="191"/>
      <c r="Y51" s="191"/>
      <c r="Z51" s="191"/>
      <c r="AA51" s="191"/>
      <c r="AB51" s="192"/>
    </row>
    <row r="52" spans="1:28" ht="24.75" customHeight="1">
      <c r="A52" s="139" t="s">
        <v>208</v>
      </c>
      <c r="B52" s="124" t="s">
        <v>242</v>
      </c>
      <c r="C52" s="140"/>
      <c r="D52" s="140"/>
      <c r="E52" s="140"/>
      <c r="F52" s="140"/>
      <c r="G52" s="141"/>
      <c r="H52" s="142"/>
      <c r="I52" s="140"/>
      <c r="J52" s="140">
        <v>4</v>
      </c>
      <c r="K52" s="140"/>
      <c r="L52" s="141"/>
      <c r="M52" s="143"/>
      <c r="N52" s="71">
        <f t="shared" si="15"/>
        <v>90</v>
      </c>
      <c r="O52" s="69">
        <f t="shared" si="16"/>
        <v>3</v>
      </c>
      <c r="P52" s="69">
        <v>0</v>
      </c>
      <c r="Q52" s="115"/>
      <c r="R52" s="115"/>
      <c r="S52" s="115"/>
      <c r="T52" s="72">
        <f t="shared" si="17"/>
        <v>90</v>
      </c>
      <c r="U52" s="147"/>
      <c r="V52" s="148"/>
      <c r="W52" s="148"/>
      <c r="X52" s="148">
        <v>3</v>
      </c>
      <c r="Y52" s="148"/>
      <c r="Z52" s="148"/>
      <c r="AA52" s="148"/>
      <c r="AB52" s="149"/>
    </row>
    <row r="53" spans="1:28" ht="24.75" customHeight="1">
      <c r="A53" s="139" t="s">
        <v>261</v>
      </c>
      <c r="B53" s="125" t="s">
        <v>243</v>
      </c>
      <c r="C53" s="140"/>
      <c r="D53" s="140"/>
      <c r="E53" s="140"/>
      <c r="F53" s="140"/>
      <c r="G53" s="141"/>
      <c r="H53" s="142"/>
      <c r="I53" s="140"/>
      <c r="J53" s="140">
        <v>5</v>
      </c>
      <c r="K53" s="140"/>
      <c r="L53" s="141"/>
      <c r="M53" s="143"/>
      <c r="N53" s="71">
        <f t="shared" si="15"/>
        <v>90</v>
      </c>
      <c r="O53" s="69">
        <f t="shared" si="16"/>
        <v>3</v>
      </c>
      <c r="P53" s="69">
        <v>0</v>
      </c>
      <c r="Q53" s="115"/>
      <c r="R53" s="115"/>
      <c r="S53" s="115"/>
      <c r="T53" s="72">
        <f t="shared" si="17"/>
        <v>90</v>
      </c>
      <c r="U53" s="147"/>
      <c r="V53" s="148"/>
      <c r="W53" s="148"/>
      <c r="X53" s="148"/>
      <c r="Y53" s="148">
        <v>3</v>
      </c>
      <c r="Z53" s="148"/>
      <c r="AA53" s="148"/>
      <c r="AB53" s="149"/>
    </row>
    <row r="54" spans="1:28" ht="24.75" customHeight="1">
      <c r="A54" s="139" t="s">
        <v>262</v>
      </c>
      <c r="B54" s="144" t="s">
        <v>244</v>
      </c>
      <c r="C54" s="140"/>
      <c r="D54" s="140"/>
      <c r="E54" s="140"/>
      <c r="F54" s="140"/>
      <c r="G54" s="141"/>
      <c r="H54" s="142"/>
      <c r="I54" s="140"/>
      <c r="J54" s="140">
        <v>6</v>
      </c>
      <c r="K54" s="140"/>
      <c r="L54" s="141"/>
      <c r="M54" s="143"/>
      <c r="N54" s="71">
        <f t="shared" si="15"/>
        <v>90</v>
      </c>
      <c r="O54" s="69">
        <f t="shared" si="16"/>
        <v>3</v>
      </c>
      <c r="P54" s="69">
        <v>0</v>
      </c>
      <c r="Q54" s="115"/>
      <c r="R54" s="115"/>
      <c r="S54" s="115"/>
      <c r="T54" s="72">
        <f t="shared" si="17"/>
        <v>90</v>
      </c>
      <c r="U54" s="193"/>
      <c r="V54" s="194"/>
      <c r="W54" s="194"/>
      <c r="X54" s="194"/>
      <c r="Y54" s="194"/>
      <c r="Z54" s="194">
        <v>3</v>
      </c>
      <c r="AA54" s="194"/>
      <c r="AB54" s="195"/>
    </row>
    <row r="55" spans="1:28" ht="24.75" customHeight="1">
      <c r="A55" s="139" t="s">
        <v>263</v>
      </c>
      <c r="B55" s="144" t="s">
        <v>245</v>
      </c>
      <c r="C55" s="140"/>
      <c r="D55" s="140"/>
      <c r="E55" s="140"/>
      <c r="F55" s="140"/>
      <c r="G55" s="141"/>
      <c r="H55" s="142"/>
      <c r="I55" s="140"/>
      <c r="J55" s="140">
        <v>7</v>
      </c>
      <c r="K55" s="140"/>
      <c r="L55" s="141"/>
      <c r="M55" s="143"/>
      <c r="N55" s="71">
        <f t="shared" si="15"/>
        <v>180</v>
      </c>
      <c r="O55" s="69">
        <f t="shared" si="16"/>
        <v>6</v>
      </c>
      <c r="P55" s="69">
        <v>0</v>
      </c>
      <c r="Q55" s="115"/>
      <c r="R55" s="115"/>
      <c r="S55" s="115"/>
      <c r="T55" s="72">
        <f t="shared" si="17"/>
        <v>180</v>
      </c>
      <c r="U55" s="193"/>
      <c r="V55" s="194"/>
      <c r="W55" s="194"/>
      <c r="X55" s="194"/>
      <c r="Y55" s="194"/>
      <c r="Z55" s="194"/>
      <c r="AA55" s="194">
        <v>6</v>
      </c>
      <c r="AB55" s="195"/>
    </row>
    <row r="56" spans="1:28" ht="24.75" customHeight="1">
      <c r="A56" s="139" t="s">
        <v>264</v>
      </c>
      <c r="B56" s="124" t="s">
        <v>216</v>
      </c>
      <c r="C56" s="126"/>
      <c r="D56" s="126"/>
      <c r="E56" s="126"/>
      <c r="F56" s="126"/>
      <c r="G56" s="127"/>
      <c r="H56" s="128"/>
      <c r="I56" s="126"/>
      <c r="J56" s="126">
        <v>7</v>
      </c>
      <c r="K56" s="126"/>
      <c r="L56" s="127"/>
      <c r="M56" s="128">
        <v>7</v>
      </c>
      <c r="N56" s="71">
        <f>O56*30</f>
        <v>90</v>
      </c>
      <c r="O56" s="69">
        <f>SUM(U56:AB56)</f>
        <v>3</v>
      </c>
      <c r="P56" s="69">
        <v>0</v>
      </c>
      <c r="Q56" s="129"/>
      <c r="R56" s="129"/>
      <c r="S56" s="129"/>
      <c r="T56" s="70">
        <f>N56-P56</f>
        <v>90</v>
      </c>
      <c r="U56" s="147"/>
      <c r="V56" s="148"/>
      <c r="W56" s="148"/>
      <c r="X56" s="148"/>
      <c r="Y56" s="148"/>
      <c r="Z56" s="148"/>
      <c r="AA56" s="148">
        <v>3</v>
      </c>
      <c r="AB56" s="149"/>
    </row>
    <row r="57" spans="1:28" ht="24.75" customHeight="1">
      <c r="A57" s="139" t="s">
        <v>267</v>
      </c>
      <c r="B57" s="125" t="s">
        <v>156</v>
      </c>
      <c r="C57" s="126"/>
      <c r="D57" s="126"/>
      <c r="E57" s="126"/>
      <c r="F57" s="126"/>
      <c r="G57" s="127"/>
      <c r="H57" s="128"/>
      <c r="I57" s="126"/>
      <c r="J57" s="126">
        <v>8</v>
      </c>
      <c r="K57" s="126"/>
      <c r="L57" s="127"/>
      <c r="M57" s="145"/>
      <c r="N57" s="71">
        <f t="shared" si="15"/>
        <v>270</v>
      </c>
      <c r="O57" s="69">
        <f t="shared" si="16"/>
        <v>9</v>
      </c>
      <c r="P57" s="69">
        <v>0</v>
      </c>
      <c r="Q57" s="115"/>
      <c r="R57" s="115"/>
      <c r="S57" s="115"/>
      <c r="T57" s="72">
        <f t="shared" si="17"/>
        <v>270</v>
      </c>
      <c r="U57" s="147"/>
      <c r="V57" s="148"/>
      <c r="W57" s="148"/>
      <c r="X57" s="148"/>
      <c r="Y57" s="148"/>
      <c r="Z57" s="148"/>
      <c r="AA57" s="148"/>
      <c r="AB57" s="149">
        <v>9</v>
      </c>
    </row>
    <row r="58" spans="1:28" s="3" customFormat="1" ht="34.5" customHeight="1" thickBot="1">
      <c r="A58" s="281" t="s">
        <v>123</v>
      </c>
      <c r="B58" s="282"/>
      <c r="C58" s="283"/>
      <c r="D58" s="283"/>
      <c r="E58" s="283"/>
      <c r="F58" s="283"/>
      <c r="G58" s="284"/>
      <c r="H58" s="285"/>
      <c r="I58" s="283"/>
      <c r="J58" s="283"/>
      <c r="K58" s="283"/>
      <c r="L58" s="284"/>
      <c r="M58" s="130"/>
      <c r="N58" s="118">
        <f aca="true" t="shared" si="18" ref="N58:AB58">SUM(N51:N57)</f>
        <v>900</v>
      </c>
      <c r="O58" s="119">
        <f t="shared" si="18"/>
        <v>30</v>
      </c>
      <c r="P58" s="119">
        <f t="shared" si="18"/>
        <v>0</v>
      </c>
      <c r="Q58" s="119">
        <f t="shared" si="18"/>
        <v>0</v>
      </c>
      <c r="R58" s="119">
        <f t="shared" si="18"/>
        <v>0</v>
      </c>
      <c r="S58" s="119">
        <f t="shared" si="18"/>
        <v>0</v>
      </c>
      <c r="T58" s="121">
        <f t="shared" si="18"/>
        <v>900</v>
      </c>
      <c r="U58" s="118">
        <f t="shared" si="18"/>
        <v>0</v>
      </c>
      <c r="V58" s="119">
        <f t="shared" si="18"/>
        <v>0</v>
      </c>
      <c r="W58" s="119">
        <f t="shared" si="18"/>
        <v>3</v>
      </c>
      <c r="X58" s="119">
        <f t="shared" si="18"/>
        <v>3</v>
      </c>
      <c r="Y58" s="119">
        <f t="shared" si="18"/>
        <v>3</v>
      </c>
      <c r="Z58" s="119">
        <f t="shared" si="18"/>
        <v>3</v>
      </c>
      <c r="AA58" s="119">
        <f t="shared" si="18"/>
        <v>9</v>
      </c>
      <c r="AB58" s="121">
        <f t="shared" si="18"/>
        <v>9</v>
      </c>
    </row>
    <row r="59" spans="1:28" s="184" customFormat="1" ht="19.5" customHeight="1" thickBot="1">
      <c r="A59" s="299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1"/>
    </row>
    <row r="60" spans="1:28" s="184" customFormat="1" ht="19.5" customHeight="1" thickBot="1">
      <c r="A60" s="346" t="s">
        <v>209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8"/>
    </row>
    <row r="61" spans="1:28" s="184" customFormat="1" ht="24.75" customHeight="1" thickBot="1">
      <c r="A61" s="139" t="s">
        <v>268</v>
      </c>
      <c r="B61" s="124" t="s">
        <v>246</v>
      </c>
      <c r="C61" s="126"/>
      <c r="D61" s="126"/>
      <c r="E61" s="126">
        <v>8</v>
      </c>
      <c r="F61" s="126"/>
      <c r="G61" s="127"/>
      <c r="H61" s="128"/>
      <c r="I61" s="126"/>
      <c r="J61" s="126"/>
      <c r="K61" s="126"/>
      <c r="L61" s="127"/>
      <c r="M61" s="145"/>
      <c r="N61" s="71">
        <f>O61*30</f>
        <v>90</v>
      </c>
      <c r="O61" s="69">
        <v>3</v>
      </c>
      <c r="P61" s="5"/>
      <c r="Q61" s="115"/>
      <c r="R61" s="115"/>
      <c r="S61" s="115"/>
      <c r="T61" s="72">
        <f>N61-P61</f>
        <v>90</v>
      </c>
      <c r="U61" s="147"/>
      <c r="V61" s="148"/>
      <c r="W61" s="148"/>
      <c r="X61" s="148"/>
      <c r="Y61" s="148"/>
      <c r="Z61" s="148"/>
      <c r="AA61" s="148"/>
      <c r="AB61" s="149">
        <v>3</v>
      </c>
    </row>
    <row r="62" spans="1:28" s="184" customFormat="1" ht="19.5" customHeight="1" thickBot="1">
      <c r="A62" s="349" t="s">
        <v>210</v>
      </c>
      <c r="B62" s="350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185"/>
      <c r="N62" s="186">
        <f aca="true" t="shared" si="19" ref="N62:T62">N61</f>
        <v>90</v>
      </c>
      <c r="O62" s="186">
        <f t="shared" si="19"/>
        <v>3</v>
      </c>
      <c r="P62" s="186">
        <f t="shared" si="19"/>
        <v>0</v>
      </c>
      <c r="Q62" s="186">
        <f t="shared" si="19"/>
        <v>0</v>
      </c>
      <c r="R62" s="186">
        <f t="shared" si="19"/>
        <v>0</v>
      </c>
      <c r="S62" s="186">
        <f t="shared" si="19"/>
        <v>0</v>
      </c>
      <c r="T62" s="186">
        <f t="shared" si="19"/>
        <v>90</v>
      </c>
      <c r="U62" s="186">
        <f>U61</f>
        <v>0</v>
      </c>
      <c r="V62" s="186">
        <f aca="true" t="shared" si="20" ref="V62:AB62">V61</f>
        <v>0</v>
      </c>
      <c r="W62" s="186">
        <f t="shared" si="20"/>
        <v>0</v>
      </c>
      <c r="X62" s="186">
        <f t="shared" si="20"/>
        <v>0</v>
      </c>
      <c r="Y62" s="186">
        <f t="shared" si="20"/>
        <v>0</v>
      </c>
      <c r="Z62" s="186">
        <f t="shared" si="20"/>
        <v>0</v>
      </c>
      <c r="AA62" s="186">
        <f t="shared" si="20"/>
        <v>0</v>
      </c>
      <c r="AB62" s="186">
        <f t="shared" si="20"/>
        <v>3</v>
      </c>
    </row>
    <row r="63" spans="1:28" s="184" customFormat="1" ht="19.5" customHeight="1" thickBot="1">
      <c r="A63" s="340"/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2"/>
    </row>
    <row r="64" spans="1:28" s="3" customFormat="1" ht="34.5" customHeight="1" thickBot="1">
      <c r="A64" s="286" t="s">
        <v>124</v>
      </c>
      <c r="B64" s="287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64"/>
      <c r="N64" s="7">
        <f aca="true" t="shared" si="21" ref="N64:AB64">SUM(N20,N44,N48,N58,N62)</f>
        <v>5400</v>
      </c>
      <c r="O64" s="7">
        <f t="shared" si="21"/>
        <v>180</v>
      </c>
      <c r="P64" s="7">
        <f t="shared" si="21"/>
        <v>1440</v>
      </c>
      <c r="Q64" s="7">
        <f t="shared" si="21"/>
        <v>344</v>
      </c>
      <c r="R64" s="7">
        <f t="shared" si="21"/>
        <v>876</v>
      </c>
      <c r="S64" s="7">
        <f t="shared" si="21"/>
        <v>220</v>
      </c>
      <c r="T64" s="7">
        <f t="shared" si="21"/>
        <v>3960</v>
      </c>
      <c r="U64" s="7">
        <f t="shared" si="21"/>
        <v>25</v>
      </c>
      <c r="V64" s="7">
        <f t="shared" si="21"/>
        <v>20</v>
      </c>
      <c r="W64" s="7">
        <f t="shared" si="21"/>
        <v>25</v>
      </c>
      <c r="X64" s="7">
        <f t="shared" si="21"/>
        <v>20</v>
      </c>
      <c r="Y64" s="7">
        <f t="shared" si="21"/>
        <v>25</v>
      </c>
      <c r="Z64" s="7">
        <f t="shared" si="21"/>
        <v>20</v>
      </c>
      <c r="AA64" s="7">
        <f t="shared" si="21"/>
        <v>25</v>
      </c>
      <c r="AB64" s="7">
        <f t="shared" si="21"/>
        <v>20</v>
      </c>
    </row>
    <row r="65" spans="1:28" s="3" customFormat="1" ht="34.5" customHeight="1" thickBot="1">
      <c r="A65" s="278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80"/>
    </row>
    <row r="66" spans="1:28" s="184" customFormat="1" ht="34.5" customHeight="1" thickBot="1">
      <c r="A66" s="278" t="s">
        <v>125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80"/>
    </row>
    <row r="67" spans="1:28" s="146" customFormat="1" ht="34.5" customHeight="1">
      <c r="A67" s="302" t="s">
        <v>126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4"/>
    </row>
    <row r="68" spans="1:28" s="1" customFormat="1" ht="24.75" customHeight="1">
      <c r="A68" s="71" t="s">
        <v>190</v>
      </c>
      <c r="B68" s="116" t="s">
        <v>134</v>
      </c>
      <c r="C68" s="122"/>
      <c r="D68" s="122"/>
      <c r="E68" s="122"/>
      <c r="F68" s="122"/>
      <c r="G68" s="123"/>
      <c r="H68" s="114"/>
      <c r="I68" s="122"/>
      <c r="J68" s="122">
        <v>1</v>
      </c>
      <c r="K68" s="122"/>
      <c r="L68" s="123"/>
      <c r="M68" s="114"/>
      <c r="N68" s="68">
        <f aca="true" t="shared" si="22" ref="N68:N73">O68*30</f>
        <v>150</v>
      </c>
      <c r="O68" s="69">
        <f aca="true" t="shared" si="23" ref="O68:O73">SUM(U68:AB68)</f>
        <v>5</v>
      </c>
      <c r="P68" s="69">
        <f aca="true" t="shared" si="24" ref="P68:P73">O68*10</f>
        <v>50</v>
      </c>
      <c r="Q68" s="115">
        <v>20</v>
      </c>
      <c r="R68" s="115">
        <v>30</v>
      </c>
      <c r="S68" s="115"/>
      <c r="T68" s="70">
        <f aca="true" t="shared" si="25" ref="T68:T73">N68-P68</f>
        <v>100</v>
      </c>
      <c r="U68" s="68">
        <v>5</v>
      </c>
      <c r="V68" s="69"/>
      <c r="W68" s="69"/>
      <c r="X68" s="69"/>
      <c r="Y68" s="69"/>
      <c r="Z68" s="69"/>
      <c r="AA68" s="69"/>
      <c r="AB68" s="72"/>
    </row>
    <row r="69" spans="1:28" s="1" customFormat="1" ht="24.75" customHeight="1">
      <c r="A69" s="71" t="s">
        <v>191</v>
      </c>
      <c r="B69" s="110" t="s">
        <v>135</v>
      </c>
      <c r="C69" s="122"/>
      <c r="D69" s="122"/>
      <c r="E69" s="122"/>
      <c r="F69" s="122"/>
      <c r="G69" s="123"/>
      <c r="H69" s="114"/>
      <c r="I69" s="122"/>
      <c r="J69" s="122">
        <v>2</v>
      </c>
      <c r="K69" s="122"/>
      <c r="L69" s="123"/>
      <c r="M69" s="114"/>
      <c r="N69" s="68">
        <f t="shared" si="22"/>
        <v>150</v>
      </c>
      <c r="O69" s="69">
        <f t="shared" si="23"/>
        <v>5</v>
      </c>
      <c r="P69" s="69">
        <f t="shared" si="24"/>
        <v>50</v>
      </c>
      <c r="Q69" s="115">
        <v>20</v>
      </c>
      <c r="R69" s="115">
        <v>30</v>
      </c>
      <c r="S69" s="115"/>
      <c r="T69" s="70">
        <f t="shared" si="25"/>
        <v>100</v>
      </c>
      <c r="U69" s="68"/>
      <c r="V69" s="69">
        <v>5</v>
      </c>
      <c r="W69" s="69"/>
      <c r="X69" s="69"/>
      <c r="Y69" s="69"/>
      <c r="Z69" s="69"/>
      <c r="AA69" s="69"/>
      <c r="AB69" s="72"/>
    </row>
    <row r="70" spans="1:28" s="1" customFormat="1" ht="24.75" customHeight="1">
      <c r="A70" s="71" t="s">
        <v>192</v>
      </c>
      <c r="B70" s="116" t="s">
        <v>139</v>
      </c>
      <c r="C70" s="122"/>
      <c r="D70" s="122"/>
      <c r="E70" s="122"/>
      <c r="F70" s="122"/>
      <c r="G70" s="123"/>
      <c r="H70" s="114"/>
      <c r="I70" s="122"/>
      <c r="J70" s="122">
        <v>2</v>
      </c>
      <c r="K70" s="122"/>
      <c r="L70" s="123"/>
      <c r="M70" s="114"/>
      <c r="N70" s="68">
        <f t="shared" si="22"/>
        <v>150</v>
      </c>
      <c r="O70" s="69">
        <f t="shared" si="23"/>
        <v>5</v>
      </c>
      <c r="P70" s="69">
        <f t="shared" si="24"/>
        <v>50</v>
      </c>
      <c r="Q70" s="115">
        <v>20</v>
      </c>
      <c r="R70" s="115">
        <v>30</v>
      </c>
      <c r="S70" s="115"/>
      <c r="T70" s="70">
        <f t="shared" si="25"/>
        <v>100</v>
      </c>
      <c r="U70" s="68"/>
      <c r="V70" s="69">
        <v>5</v>
      </c>
      <c r="W70" s="69"/>
      <c r="X70" s="69"/>
      <c r="Y70" s="69"/>
      <c r="Z70" s="69"/>
      <c r="AA70" s="69"/>
      <c r="AB70" s="72"/>
    </row>
    <row r="71" spans="1:28" s="1" customFormat="1" ht="24.75" customHeight="1">
      <c r="A71" s="71" t="s">
        <v>193</v>
      </c>
      <c r="B71" s="116" t="s">
        <v>140</v>
      </c>
      <c r="C71" s="122"/>
      <c r="D71" s="122"/>
      <c r="E71" s="122"/>
      <c r="F71" s="122"/>
      <c r="G71" s="123"/>
      <c r="H71" s="114"/>
      <c r="I71" s="122"/>
      <c r="J71" s="122">
        <v>3</v>
      </c>
      <c r="K71" s="122"/>
      <c r="L71" s="123"/>
      <c r="M71" s="114"/>
      <c r="N71" s="68">
        <f t="shared" si="22"/>
        <v>150</v>
      </c>
      <c r="O71" s="69">
        <f t="shared" si="23"/>
        <v>5</v>
      </c>
      <c r="P71" s="69">
        <f t="shared" si="24"/>
        <v>50</v>
      </c>
      <c r="Q71" s="115">
        <v>20</v>
      </c>
      <c r="R71" s="115">
        <v>30</v>
      </c>
      <c r="S71" s="115"/>
      <c r="T71" s="70">
        <f t="shared" si="25"/>
        <v>100</v>
      </c>
      <c r="U71" s="68"/>
      <c r="V71" s="69"/>
      <c r="W71" s="69">
        <v>5</v>
      </c>
      <c r="X71" s="69"/>
      <c r="Y71" s="69"/>
      <c r="Z71" s="69"/>
      <c r="AA71" s="69"/>
      <c r="AB71" s="72"/>
    </row>
    <row r="72" spans="1:28" s="1" customFormat="1" ht="24.75" customHeight="1">
      <c r="A72" s="71" t="s">
        <v>194</v>
      </c>
      <c r="B72" s="116" t="s">
        <v>141</v>
      </c>
      <c r="C72" s="122"/>
      <c r="D72" s="122"/>
      <c r="E72" s="122"/>
      <c r="F72" s="122"/>
      <c r="G72" s="123"/>
      <c r="H72" s="114"/>
      <c r="I72" s="122"/>
      <c r="J72" s="122">
        <v>4</v>
      </c>
      <c r="K72" s="122"/>
      <c r="L72" s="123"/>
      <c r="M72" s="114"/>
      <c r="N72" s="68">
        <f t="shared" si="22"/>
        <v>150</v>
      </c>
      <c r="O72" s="69">
        <f t="shared" si="23"/>
        <v>5</v>
      </c>
      <c r="P72" s="69">
        <f t="shared" si="24"/>
        <v>50</v>
      </c>
      <c r="Q72" s="115">
        <v>20</v>
      </c>
      <c r="R72" s="115">
        <v>30</v>
      </c>
      <c r="S72" s="115"/>
      <c r="T72" s="70">
        <f t="shared" si="25"/>
        <v>100</v>
      </c>
      <c r="U72" s="68"/>
      <c r="V72" s="69"/>
      <c r="W72" s="69"/>
      <c r="X72" s="69">
        <v>5</v>
      </c>
      <c r="Y72" s="69"/>
      <c r="Z72" s="69"/>
      <c r="AA72" s="69"/>
      <c r="AB72" s="72"/>
    </row>
    <row r="73" spans="1:28" s="1" customFormat="1" ht="24.75" customHeight="1">
      <c r="A73" s="71" t="s">
        <v>195</v>
      </c>
      <c r="B73" s="116" t="s">
        <v>142</v>
      </c>
      <c r="C73" s="122"/>
      <c r="D73" s="122"/>
      <c r="E73" s="122"/>
      <c r="F73" s="122"/>
      <c r="G73" s="123"/>
      <c r="H73" s="114"/>
      <c r="I73" s="122"/>
      <c r="J73" s="122">
        <v>4</v>
      </c>
      <c r="K73" s="122"/>
      <c r="L73" s="123"/>
      <c r="M73" s="114"/>
      <c r="N73" s="68">
        <f t="shared" si="22"/>
        <v>150</v>
      </c>
      <c r="O73" s="69">
        <f t="shared" si="23"/>
        <v>5</v>
      </c>
      <c r="P73" s="69">
        <f t="shared" si="24"/>
        <v>50</v>
      </c>
      <c r="Q73" s="115">
        <v>20</v>
      </c>
      <c r="R73" s="115">
        <v>30</v>
      </c>
      <c r="S73" s="115"/>
      <c r="T73" s="70">
        <f t="shared" si="25"/>
        <v>100</v>
      </c>
      <c r="U73" s="68"/>
      <c r="V73" s="69"/>
      <c r="W73" s="69"/>
      <c r="X73" s="69">
        <v>5</v>
      </c>
      <c r="Y73" s="69"/>
      <c r="Z73" s="69"/>
      <c r="AA73" s="69"/>
      <c r="AB73" s="72"/>
    </row>
    <row r="74" spans="1:28" s="3" customFormat="1" ht="34.5" customHeight="1" thickBot="1">
      <c r="A74" s="281" t="s">
        <v>127</v>
      </c>
      <c r="B74" s="282"/>
      <c r="C74" s="298"/>
      <c r="D74" s="283"/>
      <c r="E74" s="283"/>
      <c r="F74" s="283"/>
      <c r="G74" s="284"/>
      <c r="H74" s="285"/>
      <c r="I74" s="283"/>
      <c r="J74" s="283"/>
      <c r="K74" s="283"/>
      <c r="L74" s="284"/>
      <c r="M74" s="130"/>
      <c r="N74" s="118">
        <f aca="true" t="shared" si="26" ref="N74:AB74">SUM(N68:N73)</f>
        <v>900</v>
      </c>
      <c r="O74" s="119">
        <f t="shared" si="26"/>
        <v>30</v>
      </c>
      <c r="P74" s="119">
        <f t="shared" si="26"/>
        <v>300</v>
      </c>
      <c r="Q74" s="119">
        <f t="shared" si="26"/>
        <v>120</v>
      </c>
      <c r="R74" s="119">
        <f t="shared" si="26"/>
        <v>180</v>
      </c>
      <c r="S74" s="119">
        <f t="shared" si="26"/>
        <v>0</v>
      </c>
      <c r="T74" s="120">
        <f t="shared" si="26"/>
        <v>600</v>
      </c>
      <c r="U74" s="118">
        <f t="shared" si="26"/>
        <v>5</v>
      </c>
      <c r="V74" s="119">
        <f t="shared" si="26"/>
        <v>10</v>
      </c>
      <c r="W74" s="119">
        <f t="shared" si="26"/>
        <v>5</v>
      </c>
      <c r="X74" s="119">
        <f t="shared" si="26"/>
        <v>10</v>
      </c>
      <c r="Y74" s="119">
        <f t="shared" si="26"/>
        <v>0</v>
      </c>
      <c r="Z74" s="119">
        <f t="shared" si="26"/>
        <v>0</v>
      </c>
      <c r="AA74" s="119">
        <f t="shared" si="26"/>
        <v>0</v>
      </c>
      <c r="AB74" s="121">
        <f t="shared" si="26"/>
        <v>0</v>
      </c>
    </row>
    <row r="75" spans="1:28" s="184" customFormat="1" ht="19.5" customHeight="1" thickBot="1">
      <c r="A75" s="318"/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20"/>
    </row>
    <row r="76" spans="1:28" s="146" customFormat="1" ht="34.5" customHeight="1">
      <c r="A76" s="302" t="s">
        <v>128</v>
      </c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4"/>
    </row>
    <row r="77" spans="1:28" ht="24.75" customHeight="1">
      <c r="A77" s="150" t="s">
        <v>196</v>
      </c>
      <c r="B77" s="125" t="s">
        <v>136</v>
      </c>
      <c r="C77" s="122"/>
      <c r="D77" s="122"/>
      <c r="E77" s="122"/>
      <c r="F77" s="122"/>
      <c r="G77" s="123"/>
      <c r="H77" s="114"/>
      <c r="I77" s="122"/>
      <c r="J77" s="122">
        <v>5</v>
      </c>
      <c r="K77" s="122"/>
      <c r="L77" s="123"/>
      <c r="M77" s="114"/>
      <c r="N77" s="68">
        <f aca="true" t="shared" si="27" ref="N77:N82">O77*30</f>
        <v>150</v>
      </c>
      <c r="O77" s="69">
        <f aca="true" t="shared" si="28" ref="O77:O82">SUM(U77:AB77)</f>
        <v>5</v>
      </c>
      <c r="P77" s="69">
        <f aca="true" t="shared" si="29" ref="P77:P82">O77*10</f>
        <v>50</v>
      </c>
      <c r="Q77" s="69">
        <v>20</v>
      </c>
      <c r="R77" s="69">
        <v>30</v>
      </c>
      <c r="S77" s="151"/>
      <c r="T77" s="70">
        <f aca="true" t="shared" si="30" ref="T77:T82">N77-P77</f>
        <v>100</v>
      </c>
      <c r="U77" s="68"/>
      <c r="V77" s="69"/>
      <c r="W77" s="69"/>
      <c r="X77" s="69"/>
      <c r="Y77" s="69">
        <v>5</v>
      </c>
      <c r="Z77" s="69"/>
      <c r="AA77" s="69"/>
      <c r="AB77" s="72"/>
    </row>
    <row r="78" spans="1:28" ht="24.75" customHeight="1">
      <c r="A78" s="152" t="s">
        <v>197</v>
      </c>
      <c r="B78" s="125" t="s">
        <v>137</v>
      </c>
      <c r="C78" s="153"/>
      <c r="D78" s="153"/>
      <c r="E78" s="153"/>
      <c r="F78" s="153"/>
      <c r="G78" s="154"/>
      <c r="H78" s="155"/>
      <c r="I78" s="153"/>
      <c r="J78" s="153">
        <v>6</v>
      </c>
      <c r="K78" s="153"/>
      <c r="L78" s="154"/>
      <c r="M78" s="155"/>
      <c r="N78" s="68">
        <f t="shared" si="27"/>
        <v>150</v>
      </c>
      <c r="O78" s="69">
        <f t="shared" si="28"/>
        <v>5</v>
      </c>
      <c r="P78" s="69">
        <f t="shared" si="29"/>
        <v>50</v>
      </c>
      <c r="Q78" s="156">
        <v>20</v>
      </c>
      <c r="R78" s="156">
        <v>30</v>
      </c>
      <c r="S78" s="156"/>
      <c r="T78" s="70">
        <f t="shared" si="30"/>
        <v>100</v>
      </c>
      <c r="U78" s="158"/>
      <c r="V78" s="156"/>
      <c r="W78" s="156"/>
      <c r="X78" s="156"/>
      <c r="Y78" s="156"/>
      <c r="Z78" s="156">
        <v>5</v>
      </c>
      <c r="AA78" s="156"/>
      <c r="AB78" s="159"/>
    </row>
    <row r="79" spans="1:28" ht="24.75" customHeight="1">
      <c r="A79" s="152" t="s">
        <v>198</v>
      </c>
      <c r="B79" s="125" t="s">
        <v>143</v>
      </c>
      <c r="C79" s="153"/>
      <c r="D79" s="153"/>
      <c r="E79" s="153"/>
      <c r="F79" s="153"/>
      <c r="G79" s="154"/>
      <c r="H79" s="155"/>
      <c r="I79" s="153"/>
      <c r="J79" s="153">
        <v>6</v>
      </c>
      <c r="K79" s="153"/>
      <c r="L79" s="154"/>
      <c r="M79" s="155"/>
      <c r="N79" s="68">
        <f t="shared" si="27"/>
        <v>150</v>
      </c>
      <c r="O79" s="69">
        <f t="shared" si="28"/>
        <v>5</v>
      </c>
      <c r="P79" s="69">
        <f t="shared" si="29"/>
        <v>50</v>
      </c>
      <c r="Q79" s="156">
        <v>20</v>
      </c>
      <c r="R79" s="156">
        <v>30</v>
      </c>
      <c r="S79" s="156"/>
      <c r="T79" s="70">
        <f t="shared" si="30"/>
        <v>100</v>
      </c>
      <c r="U79" s="158"/>
      <c r="V79" s="156"/>
      <c r="W79" s="156"/>
      <c r="X79" s="156"/>
      <c r="Y79" s="156"/>
      <c r="Z79" s="156">
        <v>5</v>
      </c>
      <c r="AA79" s="156"/>
      <c r="AB79" s="159"/>
    </row>
    <row r="80" spans="1:28" ht="24.75" customHeight="1">
      <c r="A80" s="152" t="s">
        <v>199</v>
      </c>
      <c r="B80" s="125" t="s">
        <v>259</v>
      </c>
      <c r="C80" s="153"/>
      <c r="D80" s="153"/>
      <c r="E80" s="153"/>
      <c r="F80" s="153"/>
      <c r="G80" s="154"/>
      <c r="H80" s="155"/>
      <c r="I80" s="153"/>
      <c r="J80" s="153">
        <v>7</v>
      </c>
      <c r="K80" s="153"/>
      <c r="L80" s="154"/>
      <c r="M80" s="155"/>
      <c r="N80" s="68">
        <f t="shared" si="27"/>
        <v>150</v>
      </c>
      <c r="O80" s="69">
        <f t="shared" si="28"/>
        <v>5</v>
      </c>
      <c r="P80" s="69">
        <f>O80*10</f>
        <v>50</v>
      </c>
      <c r="Q80" s="156">
        <v>20</v>
      </c>
      <c r="R80" s="156">
        <v>30</v>
      </c>
      <c r="S80" s="157"/>
      <c r="T80" s="70">
        <f t="shared" si="30"/>
        <v>100</v>
      </c>
      <c r="U80" s="158"/>
      <c r="V80" s="156"/>
      <c r="W80" s="156"/>
      <c r="X80" s="156"/>
      <c r="Y80" s="156"/>
      <c r="Z80" s="156"/>
      <c r="AA80" s="156">
        <v>5</v>
      </c>
      <c r="AB80" s="159"/>
    </row>
    <row r="81" spans="1:28" ht="24.75" customHeight="1">
      <c r="A81" s="152" t="s">
        <v>200</v>
      </c>
      <c r="B81" s="125" t="s">
        <v>144</v>
      </c>
      <c r="C81" s="153"/>
      <c r="D81" s="153"/>
      <c r="E81" s="153"/>
      <c r="F81" s="153"/>
      <c r="G81" s="154"/>
      <c r="H81" s="155"/>
      <c r="I81" s="153"/>
      <c r="J81" s="153">
        <v>8</v>
      </c>
      <c r="K81" s="153"/>
      <c r="L81" s="154"/>
      <c r="M81" s="155"/>
      <c r="N81" s="68">
        <f t="shared" si="27"/>
        <v>150</v>
      </c>
      <c r="O81" s="69">
        <f t="shared" si="28"/>
        <v>5</v>
      </c>
      <c r="P81" s="69">
        <f t="shared" si="29"/>
        <v>50</v>
      </c>
      <c r="Q81" s="156">
        <v>20</v>
      </c>
      <c r="R81" s="156">
        <v>30</v>
      </c>
      <c r="S81" s="157"/>
      <c r="T81" s="70">
        <f t="shared" si="30"/>
        <v>100</v>
      </c>
      <c r="U81" s="158"/>
      <c r="V81" s="156"/>
      <c r="W81" s="156"/>
      <c r="X81" s="156"/>
      <c r="Y81" s="156"/>
      <c r="Z81" s="156"/>
      <c r="AA81" s="156"/>
      <c r="AB81" s="159">
        <v>5</v>
      </c>
    </row>
    <row r="82" spans="1:28" ht="24.75" customHeight="1">
      <c r="A82" s="152" t="s">
        <v>201</v>
      </c>
      <c r="B82" s="125" t="s">
        <v>260</v>
      </c>
      <c r="C82" s="153"/>
      <c r="D82" s="153"/>
      <c r="E82" s="153"/>
      <c r="F82" s="153"/>
      <c r="G82" s="154"/>
      <c r="H82" s="155"/>
      <c r="I82" s="153"/>
      <c r="J82" s="153">
        <v>8</v>
      </c>
      <c r="K82" s="153"/>
      <c r="L82" s="154"/>
      <c r="M82" s="155"/>
      <c r="N82" s="68">
        <f t="shared" si="27"/>
        <v>150</v>
      </c>
      <c r="O82" s="69">
        <f t="shared" si="28"/>
        <v>5</v>
      </c>
      <c r="P82" s="69">
        <f t="shared" si="29"/>
        <v>50</v>
      </c>
      <c r="Q82" s="156">
        <v>20</v>
      </c>
      <c r="R82" s="156">
        <v>30</v>
      </c>
      <c r="S82" s="156"/>
      <c r="T82" s="70">
        <f t="shared" si="30"/>
        <v>100</v>
      </c>
      <c r="U82" s="158"/>
      <c r="V82" s="156"/>
      <c r="W82" s="156"/>
      <c r="X82" s="156"/>
      <c r="Y82" s="156"/>
      <c r="Z82" s="156"/>
      <c r="AA82" s="156"/>
      <c r="AB82" s="159">
        <v>5</v>
      </c>
    </row>
    <row r="83" spans="1:28" s="3" customFormat="1" ht="34.5" customHeight="1" thickBot="1">
      <c r="A83" s="281" t="s">
        <v>129</v>
      </c>
      <c r="B83" s="282"/>
      <c r="C83" s="283"/>
      <c r="D83" s="283"/>
      <c r="E83" s="283"/>
      <c r="F83" s="283"/>
      <c r="G83" s="284"/>
      <c r="H83" s="285"/>
      <c r="I83" s="283"/>
      <c r="J83" s="283"/>
      <c r="K83" s="283"/>
      <c r="L83" s="284"/>
      <c r="M83" s="130"/>
      <c r="N83" s="118">
        <f aca="true" t="shared" si="31" ref="N83:AB83">SUM(N77:N82)</f>
        <v>900</v>
      </c>
      <c r="O83" s="119">
        <f t="shared" si="31"/>
        <v>30</v>
      </c>
      <c r="P83" s="119">
        <f t="shared" si="31"/>
        <v>300</v>
      </c>
      <c r="Q83" s="119">
        <f t="shared" si="31"/>
        <v>120</v>
      </c>
      <c r="R83" s="119">
        <f t="shared" si="31"/>
        <v>180</v>
      </c>
      <c r="S83" s="119">
        <f t="shared" si="31"/>
        <v>0</v>
      </c>
      <c r="T83" s="119">
        <f t="shared" si="31"/>
        <v>600</v>
      </c>
      <c r="U83" s="118">
        <f t="shared" si="31"/>
        <v>0</v>
      </c>
      <c r="V83" s="119">
        <f t="shared" si="31"/>
        <v>0</v>
      </c>
      <c r="W83" s="119">
        <f t="shared" si="31"/>
        <v>0</v>
      </c>
      <c r="X83" s="119">
        <f t="shared" si="31"/>
        <v>0</v>
      </c>
      <c r="Y83" s="119">
        <f t="shared" si="31"/>
        <v>5</v>
      </c>
      <c r="Z83" s="119">
        <f t="shared" si="31"/>
        <v>10</v>
      </c>
      <c r="AA83" s="119">
        <f t="shared" si="31"/>
        <v>5</v>
      </c>
      <c r="AB83" s="121">
        <f t="shared" si="31"/>
        <v>10</v>
      </c>
    </row>
    <row r="84" spans="1:28" ht="19.5" customHeight="1" thickBot="1">
      <c r="A84" s="306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8"/>
    </row>
    <row r="85" spans="1:28" s="3" customFormat="1" ht="34.5" customHeight="1" thickBot="1">
      <c r="A85" s="286" t="s">
        <v>130</v>
      </c>
      <c r="B85" s="287"/>
      <c r="C85" s="327"/>
      <c r="D85" s="328"/>
      <c r="E85" s="328"/>
      <c r="F85" s="328"/>
      <c r="G85" s="329"/>
      <c r="H85" s="327"/>
      <c r="I85" s="328"/>
      <c r="J85" s="328"/>
      <c r="K85" s="328"/>
      <c r="L85" s="329"/>
      <c r="M85" s="64"/>
      <c r="N85" s="7">
        <f aca="true" t="shared" si="32" ref="N85:AB85">SUM(N74,N83)</f>
        <v>1800</v>
      </c>
      <c r="O85" s="7">
        <f t="shared" si="32"/>
        <v>60</v>
      </c>
      <c r="P85" s="7">
        <f t="shared" si="32"/>
        <v>600</v>
      </c>
      <c r="Q85" s="7">
        <f t="shared" si="32"/>
        <v>240</v>
      </c>
      <c r="R85" s="7">
        <f t="shared" si="32"/>
        <v>360</v>
      </c>
      <c r="S85" s="7">
        <f t="shared" si="32"/>
        <v>0</v>
      </c>
      <c r="T85" s="7">
        <f t="shared" si="32"/>
        <v>1200</v>
      </c>
      <c r="U85" s="7">
        <f t="shared" si="32"/>
        <v>5</v>
      </c>
      <c r="V85" s="7">
        <f t="shared" si="32"/>
        <v>10</v>
      </c>
      <c r="W85" s="7">
        <f t="shared" si="32"/>
        <v>5</v>
      </c>
      <c r="X85" s="7">
        <f t="shared" si="32"/>
        <v>10</v>
      </c>
      <c r="Y85" s="7">
        <f t="shared" si="32"/>
        <v>5</v>
      </c>
      <c r="Z85" s="7">
        <f t="shared" si="32"/>
        <v>10</v>
      </c>
      <c r="AA85" s="7">
        <f t="shared" si="32"/>
        <v>5</v>
      </c>
      <c r="AB85" s="7">
        <f t="shared" si="32"/>
        <v>10</v>
      </c>
    </row>
    <row r="86" spans="1:28" s="184" customFormat="1" ht="19.5" customHeight="1" thickBot="1">
      <c r="A86" s="299"/>
      <c r="B86" s="300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1"/>
    </row>
    <row r="87" spans="1:28" s="146" customFormat="1" ht="34.5" customHeight="1" thickBot="1">
      <c r="A87" s="330" t="s">
        <v>131</v>
      </c>
      <c r="B87" s="330"/>
      <c r="C87" s="305">
        <f>COUNT(C11:G19,C23:G43,#REF!,C51:G57,C68:G73,C77:G82)</f>
        <v>10</v>
      </c>
      <c r="D87" s="305"/>
      <c r="E87" s="305"/>
      <c r="F87" s="305"/>
      <c r="G87" s="305"/>
      <c r="H87" s="305">
        <f>COUNT(H11:L19,H23:L43,#REF!,H51:L57,H68:L73,H77:L82)</f>
        <v>44</v>
      </c>
      <c r="I87" s="305"/>
      <c r="J87" s="305"/>
      <c r="K87" s="305"/>
      <c r="L87" s="305"/>
      <c r="M87" s="64">
        <f>COUNT(M11:M19,M23:M43,M47:M47,M51:M57,M68:M73,M77:M82)</f>
        <v>2</v>
      </c>
      <c r="N87" s="7">
        <f aca="true" t="shared" si="33" ref="N87:AB87">SUM(N64,N85)</f>
        <v>7200</v>
      </c>
      <c r="O87" s="7">
        <f t="shared" si="33"/>
        <v>240</v>
      </c>
      <c r="P87" s="7">
        <f t="shared" si="33"/>
        <v>2040</v>
      </c>
      <c r="Q87" s="7">
        <f t="shared" si="33"/>
        <v>584</v>
      </c>
      <c r="R87" s="7">
        <f t="shared" si="33"/>
        <v>1236</v>
      </c>
      <c r="S87" s="7">
        <f t="shared" si="33"/>
        <v>220</v>
      </c>
      <c r="T87" s="7">
        <f t="shared" si="33"/>
        <v>5160</v>
      </c>
      <c r="U87" s="7">
        <f t="shared" si="33"/>
        <v>30</v>
      </c>
      <c r="V87" s="7">
        <f t="shared" si="33"/>
        <v>30</v>
      </c>
      <c r="W87" s="7">
        <f t="shared" si="33"/>
        <v>30</v>
      </c>
      <c r="X87" s="7">
        <f t="shared" si="33"/>
        <v>30</v>
      </c>
      <c r="Y87" s="7">
        <f t="shared" si="33"/>
        <v>30</v>
      </c>
      <c r="Z87" s="7">
        <f t="shared" si="33"/>
        <v>30</v>
      </c>
      <c r="AA87" s="7">
        <f t="shared" si="33"/>
        <v>30</v>
      </c>
      <c r="AB87" s="7">
        <f t="shared" si="33"/>
        <v>30</v>
      </c>
    </row>
    <row r="88" spans="1:28" ht="19.5" customHeight="1" thickBot="1">
      <c r="A88" s="8"/>
      <c r="B88" s="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9"/>
      <c r="O88" s="10"/>
      <c r="P88" s="11"/>
      <c r="Q88" s="11"/>
      <c r="R88" s="11"/>
      <c r="S88" s="11"/>
      <c r="T88" s="11"/>
      <c r="U88" s="12"/>
      <c r="V88" s="12"/>
      <c r="W88" s="12"/>
      <c r="X88" s="12"/>
      <c r="Y88" s="12"/>
      <c r="Z88" s="12"/>
      <c r="AA88" s="12"/>
      <c r="AB88" s="12"/>
    </row>
    <row r="89" spans="1:28" ht="24.75" customHeight="1" thickBot="1">
      <c r="A89" s="276"/>
      <c r="B89" s="276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160"/>
      <c r="N89" s="161"/>
      <c r="O89" s="162"/>
      <c r="P89" s="292" t="s">
        <v>94</v>
      </c>
      <c r="Q89" s="289" t="s">
        <v>98</v>
      </c>
      <c r="R89" s="290"/>
      <c r="S89" s="290"/>
      <c r="T89" s="291"/>
      <c r="U89" s="13">
        <f>COUNTIF($C$11:$G$19,1)+COUNTIF($C$23:$G$43,1)+COUNTIF($C$68:$G$73,1)+COUNTIF($C$77:$G$82,1)+COUNTIF($C$51:$G$57,1)</f>
        <v>2</v>
      </c>
      <c r="V89" s="13">
        <f>COUNTIF($C$11:$G$19,2)+COUNTIF($C$23:$G$43,2)+COUNTIF($C$68:$G$73,2)+COUNTIF($C$77:$G$82,2)+COUNTIF($C$51:$G$57,2)</f>
        <v>2</v>
      </c>
      <c r="W89" s="13">
        <f>COUNTIF($C$11:$G$19,3)+COUNTIF($C$23:$G$43,3)+COUNTIF($C$68:$G$73,3)+COUNTIF($C$77:$G$82,3)+COUNTIF($C$51:$G$57,3)</f>
        <v>1</v>
      </c>
      <c r="X89" s="13">
        <f>COUNTIF($C$11:$G$19,4)+COUNTIF($C$23:$G$43,4)+COUNTIF($C$68:$G$73,4)+COUNTIF($C$77:$G$82,4)+COUNTIF($C$51:$G$57,4)</f>
        <v>1</v>
      </c>
      <c r="Y89" s="13">
        <f>COUNTIF($C$11:$G$19,5)+COUNTIF($C$23:$G$43,5)+COUNTIF($C$68:$G$73,5)+COUNTIF($C$77:$G$82,5)+COUNTIF($C$51:$G$57,5)</f>
        <v>1</v>
      </c>
      <c r="Z89" s="13">
        <f>COUNTIF($C$11:$G$19,6)+COUNTIF($C$23:$G$43,6)+COUNTIF($C$68:$G$73,6)+COUNTIF($C$77:$G$82,6)+COUNTIF($C$51:$G$57,6)</f>
        <v>1</v>
      </c>
      <c r="AA89" s="13">
        <f>COUNTIF($C$11:$G$19,7)+COUNTIF($C$23:$G$43,7)+COUNTIF($C$68:$G$73,7)+COUNTIF($C$77:$G$82,7)+COUNTIF($C$51:$G$57,7)</f>
        <v>2</v>
      </c>
      <c r="AB89" s="13">
        <f>COUNTIF($C$11:$G$19,1)+COUNTIF($C$23:$G$43,1)+COUNTIF($C$68:$G$73,1)+COUNTIF($C$77:$G$82,1)+COUNTIF($C$51:$G$57,1)</f>
        <v>2</v>
      </c>
    </row>
    <row r="90" spans="1:28" ht="24.75" customHeight="1" thickBot="1">
      <c r="A90" s="276"/>
      <c r="B90" s="276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160"/>
      <c r="N90" s="161"/>
      <c r="O90" s="162"/>
      <c r="P90" s="293"/>
      <c r="Q90" s="289" t="s">
        <v>95</v>
      </c>
      <c r="R90" s="290"/>
      <c r="S90" s="290"/>
      <c r="T90" s="291"/>
      <c r="U90" s="13">
        <f>COUNTIF($H$11:$L$19,1)+COUNTIF($H$23:$L$43,1)+COUNTIF($H$68:$L$73,1)+COUNTIF($H$77:$L$82,1)</f>
        <v>4</v>
      </c>
      <c r="V90" s="13">
        <f>COUNTIF($H$11:$L$19,2)+COUNTIF($H$23:$L$43,2)+COUNTIF($H$68:$L$73,2)+COUNTIF($H$77:$L$82,2)</f>
        <v>5</v>
      </c>
      <c r="W90" s="13">
        <f>COUNTIF($H$11:$L$19,3)+COUNTIF($H$23:$L$43,3)+COUNTIF($H$68:$L$73,3)+COUNTIF($H$77:$L$82,3)</f>
        <v>5</v>
      </c>
      <c r="X90" s="13">
        <f>COUNTIF($H$11:$L$19,4)+COUNTIF($H$23:$L$43,4)+COUNTIF($H$68:$L$73,4)+COUNTIF($H$77:$L$82,4)</f>
        <v>6</v>
      </c>
      <c r="Y90" s="13">
        <f>COUNTIF($H$11:$L$19,5)+COUNTIF($H$23:$L$43,5)+COUNTIF($H$68:$L$73,5)+COUNTIF($H$77:$L$82,5)</f>
        <v>4</v>
      </c>
      <c r="Z90" s="13">
        <f>COUNTIF($H$11:$L$19,6)+COUNTIF($H$23:$L$43,6)+COUNTIF($H$68:$L$73,6)+COUNTIF($H$77:$L$82,6)</f>
        <v>6</v>
      </c>
      <c r="AA90" s="13">
        <f>COUNTIF($H$11:$L$19,7)+COUNTIF($H$23:$L$43,7)+COUNTIF($H$68:$L$73,7)+COUNTIF($H$77:$L$82,7)</f>
        <v>3</v>
      </c>
      <c r="AB90" s="13">
        <f>COUNTIF($H$11:$L$19,8)+COUNTIF($H$23:$L$43,8)+COUNTIF($H$68:$L$73,8)+COUNTIF($H$77:$L$82,8)</f>
        <v>4</v>
      </c>
    </row>
    <row r="91" spans="1:28" ht="24.75" customHeight="1" thickBot="1">
      <c r="A91" s="276"/>
      <c r="B91" s="276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160"/>
      <c r="N91" s="161"/>
      <c r="O91" s="162"/>
      <c r="P91" s="293"/>
      <c r="Q91" s="289" t="s">
        <v>96</v>
      </c>
      <c r="R91" s="290"/>
      <c r="S91" s="290"/>
      <c r="T91" s="291"/>
      <c r="U91" s="13">
        <f>COUNTIF($M$47,1)</f>
        <v>0</v>
      </c>
      <c r="V91" s="13">
        <f>COUNTIF($M$47,2)</f>
        <v>0</v>
      </c>
      <c r="W91" s="13">
        <f>COUNTIF($M$47,3)</f>
        <v>0</v>
      </c>
      <c r="X91" s="13">
        <f>COUNTIF($M$47,4)</f>
        <v>0</v>
      </c>
      <c r="Y91" s="13">
        <f>COUNTIF($M$47,5)</f>
        <v>1</v>
      </c>
      <c r="Z91" s="13">
        <f>COUNTIF($M$47,6)</f>
        <v>0</v>
      </c>
      <c r="AA91" s="13">
        <f>COUNTIF($M$47,7)</f>
        <v>0</v>
      </c>
      <c r="AB91" s="13">
        <f>COUNTIF($M$47,8)</f>
        <v>0</v>
      </c>
    </row>
    <row r="92" spans="1:28" ht="24.75" customHeight="1" thickBot="1">
      <c r="A92" s="276"/>
      <c r="B92" s="276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160"/>
      <c r="N92" s="161"/>
      <c r="O92" s="162"/>
      <c r="P92" s="293"/>
      <c r="Q92" s="289" t="s">
        <v>97</v>
      </c>
      <c r="R92" s="290"/>
      <c r="S92" s="290"/>
      <c r="T92" s="291"/>
      <c r="U92" s="13">
        <f>COUNTIF($H$51:$L$57,1)</f>
        <v>0</v>
      </c>
      <c r="V92" s="13">
        <f>COUNTIF($H$51:$L$57,2)</f>
        <v>0</v>
      </c>
      <c r="W92" s="13">
        <f>COUNTIF($H$51:$L$57,3)</f>
        <v>1</v>
      </c>
      <c r="X92" s="13">
        <f>COUNTIF($H$51:$L$57,4)</f>
        <v>1</v>
      </c>
      <c r="Y92" s="13">
        <f>COUNTIF($H$51:$L$57,5)</f>
        <v>1</v>
      </c>
      <c r="Z92" s="13">
        <f>COUNTIF($H$51:$L$57,6)</f>
        <v>1</v>
      </c>
      <c r="AA92" s="13">
        <f>COUNTIF($H$51:$L$57,7)</f>
        <v>2</v>
      </c>
      <c r="AB92" s="13">
        <f>COUNTIF($H$51:$L$57,8)</f>
        <v>1</v>
      </c>
    </row>
    <row r="93" spans="1:28" ht="30" customHeight="1" thickBot="1">
      <c r="A93" s="276"/>
      <c r="B93" s="276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160"/>
      <c r="N93" s="161"/>
      <c r="O93" s="162"/>
      <c r="P93" s="294"/>
      <c r="Q93" s="295" t="s">
        <v>99</v>
      </c>
      <c r="R93" s="296"/>
      <c r="S93" s="296"/>
      <c r="T93" s="297"/>
      <c r="U93" s="7">
        <f>SUM(U89:U92)</f>
        <v>6</v>
      </c>
      <c r="V93" s="7">
        <f aca="true" t="shared" si="34" ref="V93:AB93">SUM(V89:V92)</f>
        <v>7</v>
      </c>
      <c r="W93" s="7">
        <f t="shared" si="34"/>
        <v>7</v>
      </c>
      <c r="X93" s="7">
        <f t="shared" si="34"/>
        <v>8</v>
      </c>
      <c r="Y93" s="7">
        <f t="shared" si="34"/>
        <v>7</v>
      </c>
      <c r="Z93" s="7">
        <f t="shared" si="34"/>
        <v>8</v>
      </c>
      <c r="AA93" s="7">
        <f t="shared" si="34"/>
        <v>7</v>
      </c>
      <c r="AB93" s="7">
        <f t="shared" si="34"/>
        <v>7</v>
      </c>
    </row>
  </sheetData>
  <sheetProtection/>
  <mergeCells count="94">
    <mergeCell ref="O3:O7"/>
    <mergeCell ref="Y3:Z3"/>
    <mergeCell ref="S4:S7"/>
    <mergeCell ref="P3:P7"/>
    <mergeCell ref="C8:G8"/>
    <mergeCell ref="H8:L8"/>
    <mergeCell ref="H4:L7"/>
    <mergeCell ref="Q3:S3"/>
    <mergeCell ref="N3:N7"/>
    <mergeCell ref="T3:T7"/>
    <mergeCell ref="A1:AB1"/>
    <mergeCell ref="B2:B7"/>
    <mergeCell ref="M4:M7"/>
    <mergeCell ref="Q4:Q7"/>
    <mergeCell ref="C2:M3"/>
    <mergeCell ref="R4:R7"/>
    <mergeCell ref="C4:G7"/>
    <mergeCell ref="N2:T2"/>
    <mergeCell ref="W3:X3"/>
    <mergeCell ref="U3:V3"/>
    <mergeCell ref="AA3:AB3"/>
    <mergeCell ref="A22:AB22"/>
    <mergeCell ref="A67:AB67"/>
    <mergeCell ref="U7:AB7"/>
    <mergeCell ref="A59:AB59"/>
    <mergeCell ref="A63:AB63"/>
    <mergeCell ref="A49:AB49"/>
    <mergeCell ref="C62:G62"/>
    <mergeCell ref="A60:AB60"/>
    <mergeCell ref="A62:B62"/>
    <mergeCell ref="C20:G20"/>
    <mergeCell ref="H20:L20"/>
    <mergeCell ref="A46:AB46"/>
    <mergeCell ref="C44:G44"/>
    <mergeCell ref="H48:L48"/>
    <mergeCell ref="H62:L62"/>
    <mergeCell ref="A48:B48"/>
    <mergeCell ref="C48:G48"/>
    <mergeCell ref="H85:L85"/>
    <mergeCell ref="A74:B74"/>
    <mergeCell ref="A75:AB75"/>
    <mergeCell ref="C85:G85"/>
    <mergeCell ref="A87:B87"/>
    <mergeCell ref="A66:AB66"/>
    <mergeCell ref="A9:AB9"/>
    <mergeCell ref="A2:A7"/>
    <mergeCell ref="H44:L44"/>
    <mergeCell ref="A45:AB45"/>
    <mergeCell ref="U2:AB2"/>
    <mergeCell ref="U5:AB5"/>
    <mergeCell ref="A20:B20"/>
    <mergeCell ref="A21:AB21"/>
    <mergeCell ref="A44:B44"/>
    <mergeCell ref="A10:AB10"/>
    <mergeCell ref="A89:B89"/>
    <mergeCell ref="C83:G83"/>
    <mergeCell ref="A65:AB65"/>
    <mergeCell ref="A76:AB76"/>
    <mergeCell ref="A83:B83"/>
    <mergeCell ref="H87:L87"/>
    <mergeCell ref="C87:G87"/>
    <mergeCell ref="H83:L83"/>
    <mergeCell ref="A84:AB84"/>
    <mergeCell ref="A85:B85"/>
    <mergeCell ref="A90:B90"/>
    <mergeCell ref="Q90:T90"/>
    <mergeCell ref="C74:G74"/>
    <mergeCell ref="H74:L74"/>
    <mergeCell ref="C93:G93"/>
    <mergeCell ref="H93:L93"/>
    <mergeCell ref="C91:G91"/>
    <mergeCell ref="A92:B92"/>
    <mergeCell ref="A86:AB86"/>
    <mergeCell ref="C90:G90"/>
    <mergeCell ref="C92:G92"/>
    <mergeCell ref="H92:L92"/>
    <mergeCell ref="Q92:T92"/>
    <mergeCell ref="P89:P93"/>
    <mergeCell ref="H89:L89"/>
    <mergeCell ref="H90:L90"/>
    <mergeCell ref="C89:G89"/>
    <mergeCell ref="Q93:T93"/>
    <mergeCell ref="Q91:T91"/>
    <mergeCell ref="Q89:T89"/>
    <mergeCell ref="A93:B93"/>
    <mergeCell ref="H91:L91"/>
    <mergeCell ref="A50:AB50"/>
    <mergeCell ref="A58:B58"/>
    <mergeCell ref="C58:G58"/>
    <mergeCell ref="A91:B91"/>
    <mergeCell ref="H58:L58"/>
    <mergeCell ref="A64:B64"/>
    <mergeCell ref="C64:G64"/>
    <mergeCell ref="H64:L64"/>
  </mergeCells>
  <conditionalFormatting sqref="U87:AB87">
    <cfRule type="cellIs" priority="349" dxfId="43" operator="notEqual" stopIfTrue="1">
      <formula>30</formula>
    </cfRule>
  </conditionalFormatting>
  <conditionalFormatting sqref="U89:AB89">
    <cfRule type="cellIs" priority="348" dxfId="44" operator="greaterThan" stopIfTrue="1">
      <formula>2</formula>
    </cfRule>
  </conditionalFormatting>
  <conditionalFormatting sqref="O87">
    <cfRule type="cellIs" priority="346" dxfId="2" operator="notEqual" stopIfTrue="1">
      <formula>240</formula>
    </cfRule>
  </conditionalFormatting>
  <conditionalFormatting sqref="N87">
    <cfRule type="cellIs" priority="345" dxfId="2" operator="notEqual" stopIfTrue="1">
      <formula>7200</formula>
    </cfRule>
  </conditionalFormatting>
  <conditionalFormatting sqref="O68:O73 O51:O55 O77:O82 O11:O13 O57 O15:O19 O28:O43 O23:O26">
    <cfRule type="cellIs" priority="262" dxfId="44" operator="lessThan" stopIfTrue="1">
      <formula>3</formula>
    </cfRule>
  </conditionalFormatting>
  <conditionalFormatting sqref="P36 P43 P55 P13 P15:P19 P28:P33 P23:P25">
    <cfRule type="cellIs" priority="211" dxfId="2" operator="notEqual" stopIfTrue="1">
      <formula>Q13+R13+S13</formula>
    </cfRule>
  </conditionalFormatting>
  <conditionalFormatting sqref="P26">
    <cfRule type="cellIs" priority="210" dxfId="2" operator="notEqual" stopIfTrue="1">
      <formula>Q26+R26+S26</formula>
    </cfRule>
  </conditionalFormatting>
  <conditionalFormatting sqref="P34:P35">
    <cfRule type="cellIs" priority="206" dxfId="2" operator="notEqual" stopIfTrue="1">
      <formula>Q34+R34+S34</formula>
    </cfRule>
  </conditionalFormatting>
  <conditionalFormatting sqref="P37">
    <cfRule type="cellIs" priority="202" dxfId="2" operator="notEqual" stopIfTrue="1">
      <formula>Q37+R37+S37</formula>
    </cfRule>
  </conditionalFormatting>
  <conditionalFormatting sqref="P38">
    <cfRule type="cellIs" priority="201" dxfId="2" operator="notEqual" stopIfTrue="1">
      <formula>Q38+R38+S38</formula>
    </cfRule>
  </conditionalFormatting>
  <conditionalFormatting sqref="P39">
    <cfRule type="cellIs" priority="199" dxfId="2" operator="notEqual" stopIfTrue="1">
      <formula>Q39+R39+S39</formula>
    </cfRule>
  </conditionalFormatting>
  <conditionalFormatting sqref="P40">
    <cfRule type="cellIs" priority="198" dxfId="2" operator="notEqual" stopIfTrue="1">
      <formula>Q40+R40+S40</formula>
    </cfRule>
  </conditionalFormatting>
  <conditionalFormatting sqref="P41:P42">
    <cfRule type="cellIs" priority="197" dxfId="2" operator="notEqual" stopIfTrue="1">
      <formula>Q41+R41+S41</formula>
    </cfRule>
  </conditionalFormatting>
  <conditionalFormatting sqref="P51">
    <cfRule type="cellIs" priority="170" dxfId="2" operator="notEqual" stopIfTrue="1">
      <formula>Q51+R51+S51</formula>
    </cfRule>
  </conditionalFormatting>
  <conditionalFormatting sqref="P52">
    <cfRule type="cellIs" priority="169" dxfId="2" operator="notEqual" stopIfTrue="1">
      <formula>Q52+R52+S52</formula>
    </cfRule>
  </conditionalFormatting>
  <conditionalFormatting sqref="P53">
    <cfRule type="cellIs" priority="168" dxfId="2" operator="notEqual" stopIfTrue="1">
      <formula>Q53+R53+S53</formula>
    </cfRule>
  </conditionalFormatting>
  <conditionalFormatting sqref="P54">
    <cfRule type="cellIs" priority="167" dxfId="2" operator="notEqual" stopIfTrue="1">
      <formula>Q54+R54+S54</formula>
    </cfRule>
  </conditionalFormatting>
  <conditionalFormatting sqref="P57">
    <cfRule type="cellIs" priority="165" dxfId="2" operator="notEqual" stopIfTrue="1">
      <formula>Q57+R57+S57</formula>
    </cfRule>
  </conditionalFormatting>
  <conditionalFormatting sqref="P68">
    <cfRule type="cellIs" priority="160" dxfId="2" operator="notEqual" stopIfTrue="1">
      <formula>Q68+R68+S68</formula>
    </cfRule>
  </conditionalFormatting>
  <conditionalFormatting sqref="P69">
    <cfRule type="cellIs" priority="159" dxfId="2" operator="notEqual" stopIfTrue="1">
      <formula>Q69+R69+S69</formula>
    </cfRule>
  </conditionalFormatting>
  <conditionalFormatting sqref="P70">
    <cfRule type="cellIs" priority="158" dxfId="2" operator="notEqual" stopIfTrue="1">
      <formula>Q70+R70+S70</formula>
    </cfRule>
  </conditionalFormatting>
  <conditionalFormatting sqref="P71">
    <cfRule type="cellIs" priority="157" dxfId="2" operator="notEqual" stopIfTrue="1">
      <formula>Q71+R71+S71</formula>
    </cfRule>
  </conditionalFormatting>
  <conditionalFormatting sqref="P72">
    <cfRule type="cellIs" priority="156" dxfId="2" operator="notEqual" stopIfTrue="1">
      <formula>Q72+R72+S72</formula>
    </cfRule>
  </conditionalFormatting>
  <conditionalFormatting sqref="P73">
    <cfRule type="cellIs" priority="155" dxfId="2" operator="notEqual" stopIfTrue="1">
      <formula>Q73+R73+S73</formula>
    </cfRule>
  </conditionalFormatting>
  <conditionalFormatting sqref="P77">
    <cfRule type="cellIs" priority="151" dxfId="2" operator="notEqual" stopIfTrue="1">
      <formula>Q77+R77+S77</formula>
    </cfRule>
  </conditionalFormatting>
  <conditionalFormatting sqref="P78">
    <cfRule type="cellIs" priority="150" dxfId="2" operator="notEqual" stopIfTrue="1">
      <formula>Q78+R78+S78</formula>
    </cfRule>
  </conditionalFormatting>
  <conditionalFormatting sqref="P79">
    <cfRule type="cellIs" priority="149" dxfId="2" operator="notEqual" stopIfTrue="1">
      <formula>Q79+R79+S79</formula>
    </cfRule>
  </conditionalFormatting>
  <conditionalFormatting sqref="P80">
    <cfRule type="cellIs" priority="148" dxfId="2" operator="notEqual" stopIfTrue="1">
      <formula>Q80+R80+S80</formula>
    </cfRule>
  </conditionalFormatting>
  <conditionalFormatting sqref="P81">
    <cfRule type="cellIs" priority="147" dxfId="2" operator="notEqual" stopIfTrue="1">
      <formula>Q81+R81+S81</formula>
    </cfRule>
  </conditionalFormatting>
  <conditionalFormatting sqref="P82">
    <cfRule type="cellIs" priority="146" dxfId="2" operator="notEqual" stopIfTrue="1">
      <formula>Q82+R82+S82</formula>
    </cfRule>
  </conditionalFormatting>
  <conditionalFormatting sqref="P11">
    <cfRule type="cellIs" priority="132" dxfId="2" operator="notEqual" stopIfTrue="1">
      <formula>Q11+R11+S11</formula>
    </cfRule>
  </conditionalFormatting>
  <conditionalFormatting sqref="P12">
    <cfRule type="cellIs" priority="131" dxfId="2" operator="notEqual" stopIfTrue="1">
      <formula>Q12+R12+S12</formula>
    </cfRule>
  </conditionalFormatting>
  <conditionalFormatting sqref="O85">
    <cfRule type="cellIs" priority="27" dxfId="2" operator="lessThan" stopIfTrue="1">
      <formula>60</formula>
    </cfRule>
  </conditionalFormatting>
  <conditionalFormatting sqref="U93:AB93">
    <cfRule type="cellIs" priority="26" dxfId="2" operator="greaterThan" stopIfTrue="1">
      <formula>8</formula>
    </cfRule>
  </conditionalFormatting>
  <conditionalFormatting sqref="O58">
    <cfRule type="cellIs" priority="17" dxfId="2" operator="lessThan" stopIfTrue="1">
      <formula>24</formula>
    </cfRule>
  </conditionalFormatting>
  <conditionalFormatting sqref="P61">
    <cfRule type="cellIs" priority="15" dxfId="2" operator="notEqual" stopIfTrue="1">
      <formula>Q61+R61+S61</formula>
    </cfRule>
  </conditionalFormatting>
  <conditionalFormatting sqref="P47">
    <cfRule type="cellIs" priority="10" dxfId="2" operator="notEqual" stopIfTrue="1">
      <formula>Q47+R47+S47</formula>
    </cfRule>
  </conditionalFormatting>
  <conditionalFormatting sqref="P56">
    <cfRule type="cellIs" priority="7" dxfId="2" operator="notEqual" stopIfTrue="1">
      <formula>Q56+R56+S56</formula>
    </cfRule>
  </conditionalFormatting>
  <conditionalFormatting sqref="O14">
    <cfRule type="cellIs" priority="6" dxfId="44" operator="lessThan" stopIfTrue="1">
      <formula>3</formula>
    </cfRule>
  </conditionalFormatting>
  <conditionalFormatting sqref="P14">
    <cfRule type="cellIs" priority="5" dxfId="2" operator="notEqual" stopIfTrue="1">
      <formula>Q14+R14+S14</formula>
    </cfRule>
  </conditionalFormatting>
  <conditionalFormatting sqref="O27">
    <cfRule type="cellIs" priority="2" dxfId="44" operator="lessThan" stopIfTrue="1">
      <formula>3</formula>
    </cfRule>
  </conditionalFormatting>
  <conditionalFormatting sqref="P27">
    <cfRule type="cellIs" priority="1" dxfId="2" operator="notEqual" stopIfTrue="1">
      <formula>Q27+R27+S27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0" fitToWidth="1" orientation="portrait" paperSize="9" scale="44" r:id="rId1"/>
  <rowBreaks count="1" manualBreakCount="1">
    <brk id="65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0"/>
  <sheetViews>
    <sheetView zoomScale="70" zoomScaleNormal="70" zoomScalePageLayoutView="0" workbookViewId="0" topLeftCell="A1">
      <selection activeCell="B2" sqref="B2:B5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96"/>
      <c r="B1" s="197" t="s">
        <v>249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17.25" thickBot="1" thickTop="1">
      <c r="A2" s="418" t="s">
        <v>217</v>
      </c>
      <c r="B2" s="421" t="s">
        <v>218</v>
      </c>
      <c r="C2" s="403" t="s">
        <v>233</v>
      </c>
      <c r="D2" s="404"/>
      <c r="E2" s="404"/>
      <c r="F2" s="404"/>
      <c r="G2" s="404"/>
      <c r="H2" s="404"/>
      <c r="I2" s="415" t="s">
        <v>219</v>
      </c>
      <c r="J2" s="415"/>
      <c r="K2" s="415"/>
      <c r="L2" s="415"/>
      <c r="M2" s="198">
        <v>13</v>
      </c>
      <c r="N2" s="199"/>
      <c r="O2" s="403" t="s">
        <v>234</v>
      </c>
      <c r="P2" s="404"/>
      <c r="Q2" s="404"/>
      <c r="R2" s="404"/>
      <c r="S2" s="404"/>
      <c r="T2" s="404"/>
      <c r="U2" s="415" t="s">
        <v>219</v>
      </c>
      <c r="V2" s="415"/>
      <c r="W2" s="415"/>
      <c r="X2" s="415"/>
      <c r="Y2" s="198">
        <v>18</v>
      </c>
      <c r="Z2" s="199"/>
      <c r="AA2" s="407" t="s">
        <v>220</v>
      </c>
    </row>
    <row r="3" spans="1:27" ht="16.5" thickBot="1">
      <c r="A3" s="419"/>
      <c r="B3" s="422"/>
      <c r="C3" s="410" t="s">
        <v>68</v>
      </c>
      <c r="D3" s="400" t="s">
        <v>13</v>
      </c>
      <c r="E3" s="398" t="s">
        <v>221</v>
      </c>
      <c r="F3" s="405"/>
      <c r="G3" s="405"/>
      <c r="H3" s="406"/>
      <c r="I3" s="400" t="s">
        <v>222</v>
      </c>
      <c r="J3" s="395" t="s">
        <v>223</v>
      </c>
      <c r="K3" s="395" t="s">
        <v>224</v>
      </c>
      <c r="L3" s="395" t="s">
        <v>225</v>
      </c>
      <c r="M3" s="398" t="s">
        <v>226</v>
      </c>
      <c r="N3" s="399"/>
      <c r="O3" s="410" t="s">
        <v>68</v>
      </c>
      <c r="P3" s="400" t="s">
        <v>13</v>
      </c>
      <c r="Q3" s="398" t="s">
        <v>221</v>
      </c>
      <c r="R3" s="405"/>
      <c r="S3" s="405"/>
      <c r="T3" s="406"/>
      <c r="U3" s="400" t="s">
        <v>222</v>
      </c>
      <c r="V3" s="395" t="s">
        <v>223</v>
      </c>
      <c r="W3" s="395" t="s">
        <v>224</v>
      </c>
      <c r="X3" s="395" t="s">
        <v>225</v>
      </c>
      <c r="Y3" s="398" t="s">
        <v>226</v>
      </c>
      <c r="Z3" s="399"/>
      <c r="AA3" s="408"/>
    </row>
    <row r="4" spans="1:27" ht="16.5" thickBot="1">
      <c r="A4" s="419"/>
      <c r="B4" s="422"/>
      <c r="C4" s="411"/>
      <c r="D4" s="401"/>
      <c r="E4" s="395" t="s">
        <v>0</v>
      </c>
      <c r="F4" s="398" t="s">
        <v>227</v>
      </c>
      <c r="G4" s="405"/>
      <c r="H4" s="406"/>
      <c r="I4" s="401"/>
      <c r="J4" s="396"/>
      <c r="K4" s="396"/>
      <c r="L4" s="396"/>
      <c r="M4" s="395" t="s">
        <v>228</v>
      </c>
      <c r="N4" s="413" t="s">
        <v>229</v>
      </c>
      <c r="O4" s="411"/>
      <c r="P4" s="401"/>
      <c r="Q4" s="395" t="s">
        <v>0</v>
      </c>
      <c r="R4" s="398" t="s">
        <v>227</v>
      </c>
      <c r="S4" s="405"/>
      <c r="T4" s="406"/>
      <c r="U4" s="401"/>
      <c r="V4" s="396"/>
      <c r="W4" s="396"/>
      <c r="X4" s="396"/>
      <c r="Y4" s="395" t="s">
        <v>228</v>
      </c>
      <c r="Z4" s="413" t="s">
        <v>229</v>
      </c>
      <c r="AA4" s="408"/>
    </row>
    <row r="5" spans="1:27" ht="37.5" thickBot="1">
      <c r="A5" s="420"/>
      <c r="B5" s="423"/>
      <c r="C5" s="412"/>
      <c r="D5" s="402"/>
      <c r="E5" s="397"/>
      <c r="F5" s="200" t="s">
        <v>230</v>
      </c>
      <c r="G5" s="200" t="s">
        <v>231</v>
      </c>
      <c r="H5" s="200" t="s">
        <v>232</v>
      </c>
      <c r="I5" s="402"/>
      <c r="J5" s="397"/>
      <c r="K5" s="397"/>
      <c r="L5" s="397"/>
      <c r="M5" s="397"/>
      <c r="N5" s="414"/>
      <c r="O5" s="412"/>
      <c r="P5" s="402"/>
      <c r="Q5" s="397"/>
      <c r="R5" s="200" t="s">
        <v>230</v>
      </c>
      <c r="S5" s="200" t="s">
        <v>231</v>
      </c>
      <c r="T5" s="200" t="s">
        <v>232</v>
      </c>
      <c r="U5" s="402"/>
      <c r="V5" s="397"/>
      <c r="W5" s="397"/>
      <c r="X5" s="397"/>
      <c r="Y5" s="397"/>
      <c r="Z5" s="414"/>
      <c r="AA5" s="409"/>
    </row>
    <row r="6" spans="1:27" ht="19.5" customHeight="1" thickBot="1">
      <c r="A6" s="201">
        <v>1</v>
      </c>
      <c r="B6" s="202" t="s">
        <v>206</v>
      </c>
      <c r="C6" s="203">
        <v>3</v>
      </c>
      <c r="D6" s="204">
        <f>C6*30</f>
        <v>90</v>
      </c>
      <c r="E6" s="205">
        <f>SUM(F6:H6)</f>
        <v>30</v>
      </c>
      <c r="F6" s="206">
        <v>10</v>
      </c>
      <c r="G6" s="206">
        <v>20</v>
      </c>
      <c r="H6" s="206"/>
      <c r="I6" s="205">
        <f>D6-E6</f>
        <v>60</v>
      </c>
      <c r="J6" s="207">
        <f>E6/$M$2</f>
        <v>2.3076923076923075</v>
      </c>
      <c r="K6" s="206"/>
      <c r="L6" s="205">
        <f>ROUND(C6/3,0)</f>
        <v>1</v>
      </c>
      <c r="M6" s="206"/>
      <c r="N6" s="208">
        <v>1</v>
      </c>
      <c r="O6" s="203"/>
      <c r="P6" s="204">
        <f aca="true" t="shared" si="0" ref="P6:P19">O6*30</f>
        <v>0</v>
      </c>
      <c r="Q6" s="205">
        <f aca="true" t="shared" si="1" ref="Q6:Q19">SUM(R6:T6)</f>
        <v>0</v>
      </c>
      <c r="R6" s="206"/>
      <c r="S6" s="206"/>
      <c r="T6" s="206"/>
      <c r="U6" s="205">
        <f aca="true" t="shared" si="2" ref="U6:U19">P6-Q6</f>
        <v>0</v>
      </c>
      <c r="V6" s="207">
        <f>Q6/$Y$2</f>
        <v>0</v>
      </c>
      <c r="W6" s="206"/>
      <c r="X6" s="205">
        <f aca="true" t="shared" si="3" ref="X6:X19">ROUND(O6/3,0)</f>
        <v>0</v>
      </c>
      <c r="Y6" s="206"/>
      <c r="Z6" s="208"/>
      <c r="AA6" s="209"/>
    </row>
    <row r="7" spans="1:27" ht="19.5" customHeight="1" thickBot="1">
      <c r="A7" s="201">
        <v>2</v>
      </c>
      <c r="B7" s="210" t="s">
        <v>148</v>
      </c>
      <c r="C7" s="203">
        <v>4</v>
      </c>
      <c r="D7" s="204">
        <f aca="true" t="shared" si="4" ref="D7:D19">C7*30</f>
        <v>120</v>
      </c>
      <c r="E7" s="205">
        <f aca="true" t="shared" si="5" ref="E7:E19">SUM(F7:H7)</f>
        <v>40</v>
      </c>
      <c r="F7" s="206">
        <v>10</v>
      </c>
      <c r="G7" s="206">
        <v>30</v>
      </c>
      <c r="H7" s="206"/>
      <c r="I7" s="205">
        <f aca="true" t="shared" si="6" ref="I7:I19">D7-E7</f>
        <v>80</v>
      </c>
      <c r="J7" s="207">
        <f aca="true" t="shared" si="7" ref="J7:J19">E7/$M$2</f>
        <v>3.076923076923077</v>
      </c>
      <c r="K7" s="206"/>
      <c r="L7" s="205">
        <f>ROUND(C7/3,0)</f>
        <v>1</v>
      </c>
      <c r="M7" s="206"/>
      <c r="N7" s="208">
        <v>1</v>
      </c>
      <c r="O7" s="203"/>
      <c r="P7" s="204">
        <f t="shared" si="0"/>
        <v>0</v>
      </c>
      <c r="Q7" s="205">
        <f t="shared" si="1"/>
        <v>0</v>
      </c>
      <c r="R7" s="206"/>
      <c r="S7" s="206"/>
      <c r="T7" s="206"/>
      <c r="U7" s="205">
        <f t="shared" si="2"/>
        <v>0</v>
      </c>
      <c r="V7" s="207">
        <f aca="true" t="shared" si="8" ref="V7:V19">Q7/$Y$2</f>
        <v>0</v>
      </c>
      <c r="W7" s="206"/>
      <c r="X7" s="205">
        <f t="shared" si="3"/>
        <v>0</v>
      </c>
      <c r="Y7" s="206"/>
      <c r="Z7" s="208"/>
      <c r="AA7" s="209"/>
    </row>
    <row r="8" spans="1:27" ht="19.5" customHeight="1" thickBot="1">
      <c r="A8" s="201">
        <v>3</v>
      </c>
      <c r="B8" s="210" t="s">
        <v>149</v>
      </c>
      <c r="C8" s="203">
        <v>3</v>
      </c>
      <c r="D8" s="204">
        <f t="shared" si="4"/>
        <v>90</v>
      </c>
      <c r="E8" s="205">
        <f t="shared" si="5"/>
        <v>30</v>
      </c>
      <c r="F8" s="206">
        <v>10</v>
      </c>
      <c r="G8" s="206">
        <v>20</v>
      </c>
      <c r="H8" s="206"/>
      <c r="I8" s="205">
        <f t="shared" si="6"/>
        <v>60</v>
      </c>
      <c r="J8" s="207">
        <f t="shared" si="7"/>
        <v>2.3076923076923075</v>
      </c>
      <c r="K8" s="206"/>
      <c r="L8" s="205">
        <f aca="true" t="shared" si="9" ref="L8:L19">ROUND(C8/3,0)</f>
        <v>1</v>
      </c>
      <c r="M8" s="206"/>
      <c r="N8" s="208">
        <v>1</v>
      </c>
      <c r="O8" s="203"/>
      <c r="P8" s="204">
        <f t="shared" si="0"/>
        <v>0</v>
      </c>
      <c r="Q8" s="205">
        <f t="shared" si="1"/>
        <v>0</v>
      </c>
      <c r="R8" s="206"/>
      <c r="S8" s="206"/>
      <c r="T8" s="206"/>
      <c r="U8" s="205">
        <f t="shared" si="2"/>
        <v>0</v>
      </c>
      <c r="V8" s="207">
        <f t="shared" si="8"/>
        <v>0</v>
      </c>
      <c r="W8" s="206"/>
      <c r="X8" s="205">
        <f t="shared" si="3"/>
        <v>0</v>
      </c>
      <c r="Y8" s="206"/>
      <c r="Z8" s="208"/>
      <c r="AA8" s="209"/>
    </row>
    <row r="9" spans="1:27" ht="19.5" customHeight="1" thickBot="1">
      <c r="A9" s="201">
        <v>4</v>
      </c>
      <c r="B9" s="210" t="s">
        <v>207</v>
      </c>
      <c r="C9" s="203">
        <v>2</v>
      </c>
      <c r="D9" s="204">
        <f t="shared" si="4"/>
        <v>60</v>
      </c>
      <c r="E9" s="205">
        <f t="shared" si="5"/>
        <v>20</v>
      </c>
      <c r="F9" s="206"/>
      <c r="G9" s="206">
        <v>20</v>
      </c>
      <c r="H9" s="206"/>
      <c r="I9" s="205">
        <f t="shared" si="6"/>
        <v>40</v>
      </c>
      <c r="J9" s="207">
        <f t="shared" si="7"/>
        <v>1.5384615384615385</v>
      </c>
      <c r="K9" s="206"/>
      <c r="L9" s="205">
        <f t="shared" si="9"/>
        <v>1</v>
      </c>
      <c r="M9" s="206"/>
      <c r="N9" s="208"/>
      <c r="O9" s="203">
        <v>2</v>
      </c>
      <c r="P9" s="204">
        <f t="shared" si="0"/>
        <v>60</v>
      </c>
      <c r="Q9" s="205">
        <f t="shared" si="1"/>
        <v>20</v>
      </c>
      <c r="R9" s="206"/>
      <c r="S9" s="206">
        <v>20</v>
      </c>
      <c r="T9" s="206"/>
      <c r="U9" s="205">
        <f t="shared" si="2"/>
        <v>40</v>
      </c>
      <c r="V9" s="207">
        <f t="shared" si="8"/>
        <v>1.1111111111111112</v>
      </c>
      <c r="W9" s="206"/>
      <c r="X9" s="205">
        <f t="shared" si="3"/>
        <v>1</v>
      </c>
      <c r="Y9" s="206"/>
      <c r="Z9" s="208"/>
      <c r="AA9" s="209"/>
    </row>
    <row r="10" spans="1:27" ht="19.5" customHeight="1" thickBot="1">
      <c r="A10" s="201">
        <v>5</v>
      </c>
      <c r="B10" s="211" t="s">
        <v>250</v>
      </c>
      <c r="C10" s="203">
        <v>3</v>
      </c>
      <c r="D10" s="204">
        <f t="shared" si="4"/>
        <v>90</v>
      </c>
      <c r="E10" s="205">
        <f t="shared" si="5"/>
        <v>30</v>
      </c>
      <c r="F10" s="206"/>
      <c r="G10" s="206">
        <v>30</v>
      </c>
      <c r="H10" s="206"/>
      <c r="I10" s="205">
        <f t="shared" si="6"/>
        <v>60</v>
      </c>
      <c r="J10" s="207">
        <f t="shared" si="7"/>
        <v>2.3076923076923075</v>
      </c>
      <c r="K10" s="206"/>
      <c r="L10" s="205">
        <f t="shared" si="9"/>
        <v>1</v>
      </c>
      <c r="M10" s="206"/>
      <c r="N10" s="208"/>
      <c r="O10" s="203">
        <v>3</v>
      </c>
      <c r="P10" s="204">
        <f t="shared" si="0"/>
        <v>90</v>
      </c>
      <c r="Q10" s="205">
        <f t="shared" si="1"/>
        <v>30</v>
      </c>
      <c r="R10" s="206"/>
      <c r="S10" s="206">
        <v>30</v>
      </c>
      <c r="T10" s="206"/>
      <c r="U10" s="205">
        <f t="shared" si="2"/>
        <v>60</v>
      </c>
      <c r="V10" s="207">
        <f t="shared" si="8"/>
        <v>1.6666666666666667</v>
      </c>
      <c r="W10" s="206"/>
      <c r="X10" s="205">
        <f t="shared" si="3"/>
        <v>1</v>
      </c>
      <c r="Y10" s="206"/>
      <c r="Z10" s="208">
        <v>1</v>
      </c>
      <c r="AA10" s="209"/>
    </row>
    <row r="11" spans="1:27" ht="19.5" customHeight="1" thickBot="1">
      <c r="A11" s="201">
        <v>6</v>
      </c>
      <c r="B11" s="211" t="s">
        <v>151</v>
      </c>
      <c r="C11" s="203">
        <v>5</v>
      </c>
      <c r="D11" s="204">
        <f t="shared" si="4"/>
        <v>150</v>
      </c>
      <c r="E11" s="205">
        <f t="shared" si="5"/>
        <v>50</v>
      </c>
      <c r="F11" s="206">
        <v>20</v>
      </c>
      <c r="G11" s="206">
        <v>30</v>
      </c>
      <c r="H11" s="206"/>
      <c r="I11" s="205">
        <f t="shared" si="6"/>
        <v>100</v>
      </c>
      <c r="J11" s="207">
        <f t="shared" si="7"/>
        <v>3.8461538461538463</v>
      </c>
      <c r="K11" s="206"/>
      <c r="L11" s="205">
        <f t="shared" si="9"/>
        <v>2</v>
      </c>
      <c r="M11" s="206">
        <v>1</v>
      </c>
      <c r="N11" s="208"/>
      <c r="O11" s="203"/>
      <c r="P11" s="204">
        <f t="shared" si="0"/>
        <v>0</v>
      </c>
      <c r="Q11" s="205">
        <f t="shared" si="1"/>
        <v>0</v>
      </c>
      <c r="R11" s="206"/>
      <c r="S11" s="206"/>
      <c r="T11" s="206"/>
      <c r="U11" s="205">
        <f t="shared" si="2"/>
        <v>0</v>
      </c>
      <c r="V11" s="207">
        <f t="shared" si="8"/>
        <v>0</v>
      </c>
      <c r="W11" s="206"/>
      <c r="X11" s="205">
        <f t="shared" si="3"/>
        <v>0</v>
      </c>
      <c r="Y11" s="206"/>
      <c r="Z11" s="208"/>
      <c r="AA11" s="209"/>
    </row>
    <row r="12" spans="1:27" ht="19.5" customHeight="1" thickBot="1">
      <c r="A12" s="201">
        <v>7</v>
      </c>
      <c r="B12" s="210" t="s">
        <v>269</v>
      </c>
      <c r="C12" s="203">
        <v>5</v>
      </c>
      <c r="D12" s="204">
        <f t="shared" si="4"/>
        <v>150</v>
      </c>
      <c r="E12" s="205">
        <f t="shared" si="5"/>
        <v>70</v>
      </c>
      <c r="F12" s="206">
        <v>10</v>
      </c>
      <c r="G12" s="206">
        <v>60</v>
      </c>
      <c r="H12" s="206"/>
      <c r="I12" s="205">
        <f t="shared" si="6"/>
        <v>80</v>
      </c>
      <c r="J12" s="207">
        <f t="shared" si="7"/>
        <v>5.384615384615385</v>
      </c>
      <c r="K12" s="206"/>
      <c r="L12" s="205">
        <f t="shared" si="9"/>
        <v>2</v>
      </c>
      <c r="M12" s="206">
        <v>1</v>
      </c>
      <c r="N12" s="208"/>
      <c r="O12" s="203"/>
      <c r="P12" s="204">
        <f t="shared" si="0"/>
        <v>0</v>
      </c>
      <c r="Q12" s="205">
        <f t="shared" si="1"/>
        <v>0</v>
      </c>
      <c r="R12" s="206"/>
      <c r="S12" s="206"/>
      <c r="T12" s="206"/>
      <c r="U12" s="205">
        <f t="shared" si="2"/>
        <v>0</v>
      </c>
      <c r="V12" s="207">
        <f t="shared" si="8"/>
        <v>0</v>
      </c>
      <c r="W12" s="206"/>
      <c r="X12" s="205">
        <f t="shared" si="3"/>
        <v>0</v>
      </c>
      <c r="Y12" s="206"/>
      <c r="Z12" s="208"/>
      <c r="AA12" s="209"/>
    </row>
    <row r="13" spans="1:27" ht="19.5" customHeight="1" thickBot="1">
      <c r="A13" s="201">
        <v>8</v>
      </c>
      <c r="B13" s="210" t="s">
        <v>134</v>
      </c>
      <c r="C13" s="203">
        <v>5</v>
      </c>
      <c r="D13" s="204">
        <f t="shared" si="4"/>
        <v>150</v>
      </c>
      <c r="E13" s="205">
        <f t="shared" si="5"/>
        <v>50</v>
      </c>
      <c r="F13" s="206">
        <v>20</v>
      </c>
      <c r="G13" s="206">
        <v>30</v>
      </c>
      <c r="H13" s="206"/>
      <c r="I13" s="205">
        <f t="shared" si="6"/>
        <v>100</v>
      </c>
      <c r="J13" s="207">
        <f t="shared" si="7"/>
        <v>3.8461538461538463</v>
      </c>
      <c r="K13" s="206"/>
      <c r="L13" s="205">
        <f t="shared" si="9"/>
        <v>2</v>
      </c>
      <c r="M13" s="206"/>
      <c r="N13" s="208">
        <v>1</v>
      </c>
      <c r="O13" s="203"/>
      <c r="P13" s="204">
        <f t="shared" si="0"/>
        <v>0</v>
      </c>
      <c r="Q13" s="205">
        <f t="shared" si="1"/>
        <v>0</v>
      </c>
      <c r="R13" s="206"/>
      <c r="S13" s="206"/>
      <c r="T13" s="206"/>
      <c r="U13" s="205">
        <f t="shared" si="2"/>
        <v>0</v>
      </c>
      <c r="V13" s="207">
        <f t="shared" si="8"/>
        <v>0</v>
      </c>
      <c r="W13" s="206"/>
      <c r="X13" s="205">
        <f t="shared" si="3"/>
        <v>0</v>
      </c>
      <c r="Y13" s="206"/>
      <c r="Z13" s="208"/>
      <c r="AA13" s="209"/>
    </row>
    <row r="14" spans="1:27" ht="19.5" customHeight="1" thickBot="1">
      <c r="A14" s="201">
        <v>9</v>
      </c>
      <c r="B14" s="210" t="s">
        <v>253</v>
      </c>
      <c r="C14" s="203"/>
      <c r="D14" s="204">
        <f t="shared" si="4"/>
        <v>0</v>
      </c>
      <c r="E14" s="205">
        <f t="shared" si="5"/>
        <v>0</v>
      </c>
      <c r="F14" s="206"/>
      <c r="G14" s="206"/>
      <c r="H14" s="206"/>
      <c r="I14" s="205">
        <f t="shared" si="6"/>
        <v>0</v>
      </c>
      <c r="J14" s="207">
        <f t="shared" si="7"/>
        <v>0</v>
      </c>
      <c r="K14" s="206"/>
      <c r="L14" s="205">
        <f t="shared" si="9"/>
        <v>0</v>
      </c>
      <c r="M14" s="206"/>
      <c r="N14" s="208"/>
      <c r="O14" s="203">
        <v>3</v>
      </c>
      <c r="P14" s="204">
        <f t="shared" si="0"/>
        <v>90</v>
      </c>
      <c r="Q14" s="205">
        <f t="shared" si="1"/>
        <v>30</v>
      </c>
      <c r="R14" s="206">
        <v>10</v>
      </c>
      <c r="S14" s="206">
        <v>20</v>
      </c>
      <c r="T14" s="206"/>
      <c r="U14" s="205">
        <f t="shared" si="2"/>
        <v>60</v>
      </c>
      <c r="V14" s="207">
        <f t="shared" si="8"/>
        <v>1.6666666666666667</v>
      </c>
      <c r="W14" s="206"/>
      <c r="X14" s="205">
        <f t="shared" si="3"/>
        <v>1</v>
      </c>
      <c r="Y14" s="206"/>
      <c r="Z14" s="208">
        <v>1</v>
      </c>
      <c r="AA14" s="209"/>
    </row>
    <row r="15" spans="1:27" ht="19.5" customHeight="1" thickBot="1">
      <c r="A15" s="201">
        <v>10</v>
      </c>
      <c r="B15" s="202" t="s">
        <v>266</v>
      </c>
      <c r="C15" s="203"/>
      <c r="D15" s="204">
        <f t="shared" si="4"/>
        <v>0</v>
      </c>
      <c r="E15" s="205">
        <f t="shared" si="5"/>
        <v>0</v>
      </c>
      <c r="F15" s="206"/>
      <c r="G15" s="206"/>
      <c r="H15" s="206"/>
      <c r="I15" s="205">
        <f t="shared" si="6"/>
        <v>0</v>
      </c>
      <c r="J15" s="207">
        <f t="shared" si="7"/>
        <v>0</v>
      </c>
      <c r="K15" s="206"/>
      <c r="L15" s="205">
        <f t="shared" si="9"/>
        <v>0</v>
      </c>
      <c r="M15" s="206"/>
      <c r="N15" s="208"/>
      <c r="O15" s="203">
        <v>3</v>
      </c>
      <c r="P15" s="204">
        <f t="shared" si="0"/>
        <v>90</v>
      </c>
      <c r="Q15" s="205">
        <f t="shared" si="1"/>
        <v>30</v>
      </c>
      <c r="R15" s="226">
        <v>10</v>
      </c>
      <c r="S15" s="226">
        <v>20</v>
      </c>
      <c r="T15" s="206"/>
      <c r="U15" s="205">
        <f t="shared" si="2"/>
        <v>60</v>
      </c>
      <c r="V15" s="207">
        <f t="shared" si="8"/>
        <v>1.6666666666666667</v>
      </c>
      <c r="W15" s="206"/>
      <c r="X15" s="205">
        <f t="shared" si="3"/>
        <v>1</v>
      </c>
      <c r="Y15" s="206"/>
      <c r="Z15" s="208">
        <v>1</v>
      </c>
      <c r="AA15" s="209"/>
    </row>
    <row r="16" spans="1:27" ht="19.5" customHeight="1" thickBot="1">
      <c r="A16" s="201">
        <v>11</v>
      </c>
      <c r="B16" s="202" t="s">
        <v>152</v>
      </c>
      <c r="C16" s="203"/>
      <c r="D16" s="204">
        <f t="shared" si="4"/>
        <v>0</v>
      </c>
      <c r="E16" s="205">
        <f t="shared" si="5"/>
        <v>0</v>
      </c>
      <c r="F16" s="206"/>
      <c r="G16" s="206"/>
      <c r="H16" s="206"/>
      <c r="I16" s="205">
        <f t="shared" si="6"/>
        <v>0</v>
      </c>
      <c r="J16" s="207">
        <f t="shared" si="7"/>
        <v>0</v>
      </c>
      <c r="K16" s="206"/>
      <c r="L16" s="205">
        <f t="shared" si="9"/>
        <v>0</v>
      </c>
      <c r="M16" s="206"/>
      <c r="N16" s="208"/>
      <c r="O16" s="203">
        <v>4</v>
      </c>
      <c r="P16" s="204">
        <f t="shared" si="0"/>
        <v>120</v>
      </c>
      <c r="Q16" s="205">
        <f t="shared" si="1"/>
        <v>40</v>
      </c>
      <c r="R16" s="226">
        <v>10</v>
      </c>
      <c r="S16" s="226">
        <v>30</v>
      </c>
      <c r="T16" s="206"/>
      <c r="U16" s="205">
        <f t="shared" si="2"/>
        <v>80</v>
      </c>
      <c r="V16" s="207">
        <f t="shared" si="8"/>
        <v>2.2222222222222223</v>
      </c>
      <c r="W16" s="206"/>
      <c r="X16" s="205">
        <f t="shared" si="3"/>
        <v>1</v>
      </c>
      <c r="Y16" s="206">
        <v>1</v>
      </c>
      <c r="Z16" s="208"/>
      <c r="AA16" s="209"/>
    </row>
    <row r="17" spans="1:27" ht="19.5" customHeight="1" thickBot="1">
      <c r="A17" s="201">
        <v>12</v>
      </c>
      <c r="B17" s="211" t="s">
        <v>214</v>
      </c>
      <c r="C17" s="203"/>
      <c r="D17" s="204">
        <f t="shared" si="4"/>
        <v>0</v>
      </c>
      <c r="E17" s="205">
        <f t="shared" si="5"/>
        <v>0</v>
      </c>
      <c r="F17" s="206"/>
      <c r="G17" s="206"/>
      <c r="H17" s="206"/>
      <c r="I17" s="205">
        <f t="shared" si="6"/>
        <v>0</v>
      </c>
      <c r="J17" s="207">
        <f t="shared" si="7"/>
        <v>0</v>
      </c>
      <c r="K17" s="206"/>
      <c r="L17" s="205">
        <f t="shared" si="9"/>
        <v>0</v>
      </c>
      <c r="M17" s="206"/>
      <c r="N17" s="208"/>
      <c r="O17" s="203">
        <v>5</v>
      </c>
      <c r="P17" s="204">
        <f t="shared" si="0"/>
        <v>150</v>
      </c>
      <c r="Q17" s="205">
        <f t="shared" si="1"/>
        <v>50</v>
      </c>
      <c r="R17" s="226">
        <v>20</v>
      </c>
      <c r="S17" s="226">
        <v>30</v>
      </c>
      <c r="T17" s="206"/>
      <c r="U17" s="205">
        <f t="shared" si="2"/>
        <v>100</v>
      </c>
      <c r="V17" s="207">
        <f t="shared" si="8"/>
        <v>2.7777777777777777</v>
      </c>
      <c r="W17" s="206"/>
      <c r="X17" s="205">
        <f t="shared" si="3"/>
        <v>2</v>
      </c>
      <c r="Y17" s="206">
        <v>1</v>
      </c>
      <c r="Z17" s="208"/>
      <c r="AA17" s="209"/>
    </row>
    <row r="18" spans="1:27" ht="19.5" customHeight="1" thickBot="1">
      <c r="A18" s="201">
        <v>13</v>
      </c>
      <c r="B18" s="202" t="s">
        <v>135</v>
      </c>
      <c r="C18" s="203"/>
      <c r="D18" s="204">
        <f t="shared" si="4"/>
        <v>0</v>
      </c>
      <c r="E18" s="205">
        <f t="shared" si="5"/>
        <v>0</v>
      </c>
      <c r="F18" s="212"/>
      <c r="G18" s="212"/>
      <c r="H18" s="212"/>
      <c r="I18" s="205">
        <f t="shared" si="6"/>
        <v>0</v>
      </c>
      <c r="J18" s="207">
        <f t="shared" si="7"/>
        <v>0</v>
      </c>
      <c r="K18" s="206"/>
      <c r="L18" s="205">
        <f t="shared" si="9"/>
        <v>0</v>
      </c>
      <c r="M18" s="206"/>
      <c r="N18" s="208"/>
      <c r="O18" s="203">
        <v>5</v>
      </c>
      <c r="P18" s="204">
        <f t="shared" si="0"/>
        <v>150</v>
      </c>
      <c r="Q18" s="205">
        <f t="shared" si="1"/>
        <v>50</v>
      </c>
      <c r="R18" s="206">
        <v>20</v>
      </c>
      <c r="S18" s="206">
        <v>30</v>
      </c>
      <c r="T18" s="206"/>
      <c r="U18" s="205">
        <f t="shared" si="2"/>
        <v>100</v>
      </c>
      <c r="V18" s="207">
        <f t="shared" si="8"/>
        <v>2.7777777777777777</v>
      </c>
      <c r="W18" s="206"/>
      <c r="X18" s="205">
        <f t="shared" si="3"/>
        <v>2</v>
      </c>
      <c r="Y18" s="206"/>
      <c r="Z18" s="208">
        <v>1</v>
      </c>
      <c r="AA18" s="209"/>
    </row>
    <row r="19" spans="1:27" ht="19.5" customHeight="1" thickBot="1">
      <c r="A19" s="201">
        <v>14</v>
      </c>
      <c r="B19" s="210" t="s">
        <v>139</v>
      </c>
      <c r="C19" s="203"/>
      <c r="D19" s="204">
        <f t="shared" si="4"/>
        <v>0</v>
      </c>
      <c r="E19" s="205">
        <f t="shared" si="5"/>
        <v>0</v>
      </c>
      <c r="F19" s="206"/>
      <c r="G19" s="206"/>
      <c r="H19" s="206"/>
      <c r="I19" s="205">
        <f t="shared" si="6"/>
        <v>0</v>
      </c>
      <c r="J19" s="207">
        <f t="shared" si="7"/>
        <v>0</v>
      </c>
      <c r="K19" s="206"/>
      <c r="L19" s="205">
        <f t="shared" si="9"/>
        <v>0</v>
      </c>
      <c r="M19" s="206"/>
      <c r="N19" s="208"/>
      <c r="O19" s="203">
        <v>5</v>
      </c>
      <c r="P19" s="204">
        <f t="shared" si="0"/>
        <v>150</v>
      </c>
      <c r="Q19" s="205">
        <f t="shared" si="1"/>
        <v>50</v>
      </c>
      <c r="R19" s="206">
        <v>20</v>
      </c>
      <c r="S19" s="206">
        <v>30</v>
      </c>
      <c r="T19" s="206"/>
      <c r="U19" s="205">
        <f t="shared" si="2"/>
        <v>100</v>
      </c>
      <c r="V19" s="207">
        <f t="shared" si="8"/>
        <v>2.7777777777777777</v>
      </c>
      <c r="W19" s="206"/>
      <c r="X19" s="205">
        <f t="shared" si="3"/>
        <v>2</v>
      </c>
      <c r="Y19" s="206"/>
      <c r="Z19" s="208">
        <v>1</v>
      </c>
      <c r="AA19" s="209"/>
    </row>
    <row r="20" spans="1:27" ht="16.5" thickBot="1">
      <c r="A20" s="416" t="s">
        <v>99</v>
      </c>
      <c r="B20" s="417"/>
      <c r="C20" s="213">
        <f>SUM(C6:C19)</f>
        <v>30</v>
      </c>
      <c r="D20" s="214">
        <f aca="true" t="shared" si="10" ref="D20:L20">SUM(D6:D19)</f>
        <v>900</v>
      </c>
      <c r="E20" s="214">
        <f t="shared" si="10"/>
        <v>320</v>
      </c>
      <c r="F20" s="214">
        <f t="shared" si="10"/>
        <v>80</v>
      </c>
      <c r="G20" s="214">
        <f t="shared" si="10"/>
        <v>240</v>
      </c>
      <c r="H20" s="214">
        <f t="shared" si="10"/>
        <v>0</v>
      </c>
      <c r="I20" s="214">
        <f t="shared" si="10"/>
        <v>580</v>
      </c>
      <c r="J20" s="215">
        <f t="shared" si="10"/>
        <v>24.61538461538462</v>
      </c>
      <c r="K20" s="214">
        <f>COUNT(K6:K19)</f>
        <v>0</v>
      </c>
      <c r="L20" s="214">
        <f t="shared" si="10"/>
        <v>11</v>
      </c>
      <c r="M20" s="214">
        <f>COUNT(M6:M19)</f>
        <v>2</v>
      </c>
      <c r="N20" s="216">
        <f>COUNT(N6:N19)</f>
        <v>4</v>
      </c>
      <c r="O20" s="213">
        <f aca="true" t="shared" si="11" ref="O20:V20">SUM(O6:O19)</f>
        <v>30</v>
      </c>
      <c r="P20" s="214">
        <f t="shared" si="11"/>
        <v>900</v>
      </c>
      <c r="Q20" s="214">
        <f t="shared" si="11"/>
        <v>300</v>
      </c>
      <c r="R20" s="214">
        <f t="shared" si="11"/>
        <v>90</v>
      </c>
      <c r="S20" s="214">
        <f t="shared" si="11"/>
        <v>210</v>
      </c>
      <c r="T20" s="214">
        <f t="shared" si="11"/>
        <v>0</v>
      </c>
      <c r="U20" s="214">
        <f t="shared" si="11"/>
        <v>600</v>
      </c>
      <c r="V20" s="215">
        <f t="shared" si="11"/>
        <v>16.666666666666668</v>
      </c>
      <c r="W20" s="214">
        <f>COUNT(W6:W19)</f>
        <v>0</v>
      </c>
      <c r="X20" s="214">
        <f>SUM(X6:X19)</f>
        <v>11</v>
      </c>
      <c r="Y20" s="214">
        <f>COUNT(Y6:Y19)</f>
        <v>2</v>
      </c>
      <c r="Z20" s="216">
        <f>COUNT(Z6:Z19)</f>
        <v>5</v>
      </c>
      <c r="AA20" s="217"/>
    </row>
    <row r="21" ht="13.5" thickTop="1"/>
  </sheetData>
  <sheetProtection/>
  <mergeCells count="32">
    <mergeCell ref="A20:B20"/>
    <mergeCell ref="W3:W5"/>
    <mergeCell ref="E3:H3"/>
    <mergeCell ref="I3:I5"/>
    <mergeCell ref="J3:J5"/>
    <mergeCell ref="M3:N3"/>
    <mergeCell ref="Q3:T3"/>
    <mergeCell ref="A2:A5"/>
    <mergeCell ref="B2:B5"/>
    <mergeCell ref="U3:U5"/>
    <mergeCell ref="K3:K5"/>
    <mergeCell ref="L3:L5"/>
    <mergeCell ref="C3:C5"/>
    <mergeCell ref="D3:D5"/>
    <mergeCell ref="C2:H2"/>
    <mergeCell ref="I2:L2"/>
    <mergeCell ref="M4:M5"/>
    <mergeCell ref="Q4:Q5"/>
    <mergeCell ref="E4:E5"/>
    <mergeCell ref="F4:H4"/>
    <mergeCell ref="AA2:AA5"/>
    <mergeCell ref="O3:O5"/>
    <mergeCell ref="Z4:Z5"/>
    <mergeCell ref="U2:X2"/>
    <mergeCell ref="Y4:Y5"/>
    <mergeCell ref="N4:N5"/>
    <mergeCell ref="X3:X5"/>
    <mergeCell ref="Y3:Z3"/>
    <mergeCell ref="P3:P5"/>
    <mergeCell ref="O2:T2"/>
    <mergeCell ref="V3:V5"/>
    <mergeCell ref="R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X37"/>
  <sheetViews>
    <sheetView showGridLines="0" tabSelected="1" zoomScale="60" zoomScaleNormal="60" zoomScalePageLayoutView="0" workbookViewId="0" topLeftCell="A22">
      <selection activeCell="R44" sqref="R44"/>
    </sheetView>
  </sheetViews>
  <sheetFormatPr defaultColWidth="8.875" defaultRowHeight="12.75"/>
  <cols>
    <col min="1" max="1" width="12.625" style="14" customWidth="1"/>
    <col min="2" max="21" width="8.75390625" style="14" customWidth="1"/>
    <col min="22" max="16384" width="8.875" style="14" customWidth="1"/>
  </cols>
  <sheetData>
    <row r="1" ht="27" customHeight="1"/>
    <row r="2" ht="26.25" customHeight="1"/>
    <row r="3" spans="1:24" s="54" customFormat="1" ht="19.5" customHeight="1" thickBot="1">
      <c r="A3" s="458" t="s">
        <v>145</v>
      </c>
      <c r="B3" s="458"/>
      <c r="C3" s="458"/>
      <c r="D3" s="49"/>
      <c r="E3" s="50"/>
      <c r="F3" s="50"/>
      <c r="G3" s="50"/>
      <c r="H3" s="51"/>
      <c r="I3" s="52"/>
      <c r="J3" s="52"/>
      <c r="K3" s="53"/>
      <c r="L3" s="5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54" customFormat="1" ht="16.5" customHeight="1">
      <c r="A4" s="459" t="s">
        <v>50</v>
      </c>
      <c r="B4" s="461" t="s">
        <v>51</v>
      </c>
      <c r="C4" s="461"/>
      <c r="D4" s="461"/>
      <c r="E4" s="461"/>
      <c r="F4" s="461"/>
      <c r="G4" s="461"/>
      <c r="H4" s="463" t="s">
        <v>52</v>
      </c>
      <c r="I4" s="453" t="s">
        <v>53</v>
      </c>
      <c r="J4" s="453"/>
      <c r="K4" s="465"/>
      <c r="L4" s="5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54" customFormat="1" ht="16.5" customHeight="1">
      <c r="A5" s="460"/>
      <c r="B5" s="462"/>
      <c r="C5" s="462"/>
      <c r="D5" s="462"/>
      <c r="E5" s="462"/>
      <c r="F5" s="462"/>
      <c r="G5" s="462"/>
      <c r="H5" s="464"/>
      <c r="I5" s="430" t="s">
        <v>54</v>
      </c>
      <c r="J5" s="449" t="s">
        <v>55</v>
      </c>
      <c r="K5" s="450"/>
      <c r="L5" s="5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54" customFormat="1" ht="27" customHeight="1">
      <c r="A6" s="460"/>
      <c r="B6" s="462"/>
      <c r="C6" s="462"/>
      <c r="D6" s="462"/>
      <c r="E6" s="462"/>
      <c r="F6" s="462"/>
      <c r="G6" s="462"/>
      <c r="H6" s="464"/>
      <c r="I6" s="430"/>
      <c r="J6" s="449"/>
      <c r="K6" s="450"/>
      <c r="L6" s="5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54" customFormat="1" ht="30" customHeight="1">
      <c r="A7" s="89" t="str">
        <f>ЗМІСТ!A51</f>
        <v>ОК 32</v>
      </c>
      <c r="B7" s="444" t="str">
        <f>ЗМІСТ!B51</f>
        <v>Навчальна практика 1 (обчислювальна)</v>
      </c>
      <c r="C7" s="444"/>
      <c r="D7" s="444"/>
      <c r="E7" s="444"/>
      <c r="F7" s="444"/>
      <c r="G7" s="444"/>
      <c r="H7" s="91">
        <f>ЗМІСТ!J51</f>
        <v>3</v>
      </c>
      <c r="I7" s="90">
        <f>ROUNDDOWN(SUM(ЗМІСТ!U51:AB51)/1.5,0)</f>
        <v>2</v>
      </c>
      <c r="J7" s="449"/>
      <c r="K7" s="450"/>
      <c r="L7" s="5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54" customFormat="1" ht="30" customHeight="1">
      <c r="A8" s="89" t="str">
        <f>ЗМІСТ!A52</f>
        <v>ОК 33</v>
      </c>
      <c r="B8" s="444" t="str">
        <f>ЗМІСТ!B52</f>
        <v>Навчальна практика 2 (обчислювальна)</v>
      </c>
      <c r="C8" s="444"/>
      <c r="D8" s="444"/>
      <c r="E8" s="444"/>
      <c r="F8" s="444"/>
      <c r="G8" s="444"/>
      <c r="H8" s="91">
        <f>ЗМІСТ!J52</f>
        <v>4</v>
      </c>
      <c r="I8" s="90">
        <f>ROUNDDOWN(SUM(ЗМІСТ!U52:AB52)/1.5,0)</f>
        <v>2</v>
      </c>
      <c r="J8" s="449"/>
      <c r="K8" s="450"/>
      <c r="L8" s="5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54" customFormat="1" ht="30" customHeight="1">
      <c r="A9" s="89" t="str">
        <f>ЗМІСТ!A53</f>
        <v>ОК 34</v>
      </c>
      <c r="B9" s="444" t="str">
        <f>ЗМІСТ!B53</f>
        <v>Навчальна практика 3</v>
      </c>
      <c r="C9" s="444"/>
      <c r="D9" s="444"/>
      <c r="E9" s="444"/>
      <c r="F9" s="444"/>
      <c r="G9" s="444"/>
      <c r="H9" s="91">
        <f>ЗМІСТ!J53</f>
        <v>5</v>
      </c>
      <c r="I9" s="90">
        <f>ROUNDDOWN(SUM(ЗМІСТ!U53:AB53)/1.5,0)</f>
        <v>2</v>
      </c>
      <c r="J9" s="454"/>
      <c r="K9" s="455"/>
      <c r="L9" s="5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54" customFormat="1" ht="30" customHeight="1">
      <c r="A10" s="89" t="str">
        <f>ЗМІСТ!A54</f>
        <v>ОК 35</v>
      </c>
      <c r="B10" s="444" t="str">
        <f>ЗМІСТ!B54</f>
        <v>Навчальна практика 4</v>
      </c>
      <c r="C10" s="444"/>
      <c r="D10" s="444"/>
      <c r="E10" s="444"/>
      <c r="F10" s="444"/>
      <c r="G10" s="444"/>
      <c r="H10" s="91">
        <f>ЗМІСТ!J54</f>
        <v>6</v>
      </c>
      <c r="I10" s="90">
        <f>ROUNDDOWN(SUM(ЗМІСТ!U54:AB54)/1.5,0)</f>
        <v>2</v>
      </c>
      <c r="J10" s="449"/>
      <c r="K10" s="450"/>
      <c r="L10" s="5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54" customFormat="1" ht="30" customHeight="1">
      <c r="A11" s="89" t="str">
        <f>ЗМІСТ!A55</f>
        <v>ОК 36</v>
      </c>
      <c r="B11" s="444" t="str">
        <f>ЗМІСТ!B55</f>
        <v>Навчальна практика 5 (астрономічна)</v>
      </c>
      <c r="C11" s="444"/>
      <c r="D11" s="444"/>
      <c r="E11" s="444"/>
      <c r="F11" s="444"/>
      <c r="G11" s="444"/>
      <c r="H11" s="91">
        <f>ЗМІСТ!J55</f>
        <v>7</v>
      </c>
      <c r="I11" s="90">
        <f>ROUNDDOWN(SUM(ЗМІСТ!U55:AB55)/1.5,0)</f>
        <v>4</v>
      </c>
      <c r="J11" s="449"/>
      <c r="K11" s="450"/>
      <c r="L11" s="5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54" customFormat="1" ht="30" customHeight="1">
      <c r="A12" s="89" t="str">
        <f>ЗМІСТ!A56</f>
        <v>ОК 37</v>
      </c>
      <c r="B12" s="444" t="str">
        <f>ЗМІСТ!B56</f>
        <v>Курсова робота з методики навчання</v>
      </c>
      <c r="C12" s="444"/>
      <c r="D12" s="444"/>
      <c r="E12" s="444"/>
      <c r="F12" s="444"/>
      <c r="G12" s="444"/>
      <c r="H12" s="91">
        <f>ЗМІСТ!J56</f>
        <v>7</v>
      </c>
      <c r="I12" s="90">
        <f>ROUNDDOWN(SUM(ЗМІСТ!U56:AB56)/1.5,0)</f>
        <v>2</v>
      </c>
      <c r="J12" s="220"/>
      <c r="K12" s="221"/>
      <c r="L12" s="5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12" ht="30" customHeight="1" thickBot="1">
      <c r="A13" s="187" t="str">
        <f>ЗМІСТ!A57</f>
        <v>ОК 38</v>
      </c>
      <c r="B13" s="424" t="str">
        <f>ЗМІСТ!B57</f>
        <v>Виробнича практика</v>
      </c>
      <c r="C13" s="424"/>
      <c r="D13" s="424"/>
      <c r="E13" s="424"/>
      <c r="F13" s="424"/>
      <c r="G13" s="424"/>
      <c r="H13" s="189">
        <f>ЗМІСТ!J57</f>
        <v>8</v>
      </c>
      <c r="I13" s="188">
        <f>ROUNDDOWN(SUM(ЗМІСТ!U57:AB57)/1.5,0)</f>
        <v>6</v>
      </c>
      <c r="J13" s="425"/>
      <c r="K13" s="426"/>
      <c r="L13" s="92"/>
    </row>
    <row r="14" spans="1:12" ht="12.7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12.7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21" ht="19.5" customHeight="1" thickBot="1">
      <c r="A16" s="451" t="s">
        <v>56</v>
      </c>
      <c r="B16" s="451"/>
      <c r="C16" s="451"/>
      <c r="D16" s="45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1:21" ht="19.5" customHeight="1">
      <c r="A17" s="452" t="s">
        <v>57</v>
      </c>
      <c r="B17" s="453"/>
      <c r="C17" s="453"/>
      <c r="D17" s="453"/>
      <c r="E17" s="453"/>
      <c r="F17" s="453"/>
      <c r="G17" s="453"/>
      <c r="H17" s="453"/>
      <c r="I17" s="55" t="s">
        <v>58</v>
      </c>
      <c r="J17" s="55" t="s">
        <v>59</v>
      </c>
      <c r="K17" s="55" t="s">
        <v>60</v>
      </c>
      <c r="L17" s="55" t="s">
        <v>61</v>
      </c>
      <c r="M17" s="55" t="s">
        <v>62</v>
      </c>
      <c r="N17" s="55" t="s">
        <v>63</v>
      </c>
      <c r="O17" s="55" t="s">
        <v>64</v>
      </c>
      <c r="P17" s="55" t="s">
        <v>65</v>
      </c>
      <c r="Q17" s="445" t="s">
        <v>45</v>
      </c>
      <c r="R17" s="445"/>
      <c r="S17" s="445"/>
      <c r="T17" s="445"/>
      <c r="U17" s="446"/>
    </row>
    <row r="18" spans="1:21" ht="19.5" customHeight="1">
      <c r="A18" s="429" t="s">
        <v>100</v>
      </c>
      <c r="B18" s="430"/>
      <c r="C18" s="430"/>
      <c r="D18" s="430"/>
      <c r="E18" s="430"/>
      <c r="F18" s="430"/>
      <c r="G18" s="430"/>
      <c r="H18" s="430"/>
      <c r="I18" s="56">
        <f>ЗМІСТ!U6</f>
        <v>10</v>
      </c>
      <c r="J18" s="56">
        <f>ЗМІСТ!V6</f>
        <v>20</v>
      </c>
      <c r="K18" s="56">
        <f>ЗМІСТ!W6</f>
        <v>15</v>
      </c>
      <c r="L18" s="56">
        <f>ЗМІСТ!X6</f>
        <v>15</v>
      </c>
      <c r="M18" s="56">
        <f>ЗМІСТ!Y6</f>
        <v>15</v>
      </c>
      <c r="N18" s="56">
        <f>ЗМІСТ!Z6</f>
        <v>15</v>
      </c>
      <c r="O18" s="56">
        <f>ЗМІСТ!AA6</f>
        <v>15</v>
      </c>
      <c r="P18" s="56">
        <f>ЗМІСТ!AB6</f>
        <v>15</v>
      </c>
      <c r="Q18" s="447">
        <f>SUM(I18:P18)</f>
        <v>120</v>
      </c>
      <c r="R18" s="447"/>
      <c r="S18" s="447"/>
      <c r="T18" s="447"/>
      <c r="U18" s="448"/>
    </row>
    <row r="19" spans="1:21" ht="19.5" customHeight="1">
      <c r="A19" s="429" t="s">
        <v>146</v>
      </c>
      <c r="B19" s="430"/>
      <c r="C19" s="430"/>
      <c r="D19" s="430"/>
      <c r="E19" s="430"/>
      <c r="F19" s="430"/>
      <c r="G19" s="430"/>
      <c r="H19" s="430"/>
      <c r="I19" s="56">
        <f>I18-ROUNDDOWN(SUM(ЗМІСТ!U51:U57)/1.5,0)</f>
        <v>10</v>
      </c>
      <c r="J19" s="56">
        <f>J18-ROUNDDOWN(SUM(ЗМІСТ!V51:V57)/1.5,0)</f>
        <v>20</v>
      </c>
      <c r="K19" s="56">
        <f>K18-ROUNDDOWN(SUM(ЗМІСТ!W51:W57)/1.5,0)</f>
        <v>13</v>
      </c>
      <c r="L19" s="56">
        <f>L18-ROUNDDOWN(SUM(ЗМІСТ!X51:X57)/1.5,0)</f>
        <v>13</v>
      </c>
      <c r="M19" s="56">
        <f>M18-ROUNDDOWN(SUM(ЗМІСТ!Y51:Y57)/1.5,0)</f>
        <v>13</v>
      </c>
      <c r="N19" s="56">
        <f>N18-ROUNDDOWN(SUM(ЗМІСТ!Z51:Z57)/1.5,0)</f>
        <v>13</v>
      </c>
      <c r="O19" s="56">
        <f>O18-ROUNDDOWN(SUM(ЗМІСТ!AA51:AA57)/1.5,0)</f>
        <v>9</v>
      </c>
      <c r="P19" s="56">
        <f>P18-ROUNDDOWN(SUM(ЗМІСТ!AB51:AB57)/1.5,0)</f>
        <v>9</v>
      </c>
      <c r="Q19" s="447">
        <f>SUM(I19:P19)</f>
        <v>100</v>
      </c>
      <c r="R19" s="447"/>
      <c r="S19" s="447"/>
      <c r="T19" s="447"/>
      <c r="U19" s="448"/>
    </row>
    <row r="20" spans="1:21" ht="19.5" customHeight="1">
      <c r="A20" s="429" t="s">
        <v>66</v>
      </c>
      <c r="B20" s="430"/>
      <c r="C20" s="430"/>
      <c r="D20" s="430"/>
      <c r="E20" s="430"/>
      <c r="F20" s="430"/>
      <c r="G20" s="430"/>
      <c r="H20" s="430"/>
      <c r="I20" s="84">
        <f>10*(30-SUM(ЗМІСТ!U51:U57)-SUM(ЗМІСТ!U47))</f>
        <v>300</v>
      </c>
      <c r="J20" s="84">
        <f>10*(30-SUM(ЗМІСТ!V51:V57)-SUM(ЗМІСТ!V47))</f>
        <v>300</v>
      </c>
      <c r="K20" s="84">
        <f>10*(30-SUM(ЗМІСТ!W51:W57)-SUM(ЗМІСТ!W47))</f>
        <v>270</v>
      </c>
      <c r="L20" s="84">
        <f>10*(30-SUM(ЗМІСТ!X51:X57)-SUM(ЗМІСТ!X47))</f>
        <v>270</v>
      </c>
      <c r="M20" s="84">
        <f>10*(30-SUM(ЗМІСТ!Y51:Y57)-SUM(ЗМІСТ!Y47))</f>
        <v>240</v>
      </c>
      <c r="N20" s="84">
        <f>10*(30-SUM(ЗМІСТ!Z51:Z57)-SUM(ЗМІСТ!Z47))</f>
        <v>270</v>
      </c>
      <c r="O20" s="84">
        <f>10*(30-SUM(ЗМІСТ!AA51:AA57)-SUM(ЗМІСТ!AA47))</f>
        <v>210</v>
      </c>
      <c r="P20" s="84">
        <f>10*(30-SUM(ЗМІСТ!AB51:AB57)-SUM(ЗМІСТ!AB47))</f>
        <v>210</v>
      </c>
      <c r="Q20" s="447">
        <f>SUM(I20:P20)</f>
        <v>2070</v>
      </c>
      <c r="R20" s="447"/>
      <c r="S20" s="447"/>
      <c r="T20" s="447"/>
      <c r="U20" s="448"/>
    </row>
    <row r="21" spans="1:21" ht="19.5" customHeight="1">
      <c r="A21" s="429" t="s">
        <v>67</v>
      </c>
      <c r="B21" s="430"/>
      <c r="C21" s="430"/>
      <c r="D21" s="430"/>
      <c r="E21" s="430"/>
      <c r="F21" s="430"/>
      <c r="G21" s="430"/>
      <c r="H21" s="430"/>
      <c r="I21" s="57">
        <f>I20/I19</f>
        <v>30</v>
      </c>
      <c r="J21" s="57">
        <f aca="true" t="shared" si="0" ref="J21:P21">J20/J19</f>
        <v>15</v>
      </c>
      <c r="K21" s="57">
        <f t="shared" si="0"/>
        <v>20.76923076923077</v>
      </c>
      <c r="L21" s="57">
        <f t="shared" si="0"/>
        <v>20.76923076923077</v>
      </c>
      <c r="M21" s="57">
        <f t="shared" si="0"/>
        <v>18.46153846153846</v>
      </c>
      <c r="N21" s="57">
        <f t="shared" si="0"/>
        <v>20.76923076923077</v>
      </c>
      <c r="O21" s="57">
        <f t="shared" si="0"/>
        <v>23.333333333333332</v>
      </c>
      <c r="P21" s="57">
        <f t="shared" si="0"/>
        <v>23.333333333333332</v>
      </c>
      <c r="Q21" s="431"/>
      <c r="R21" s="431"/>
      <c r="S21" s="431"/>
      <c r="T21" s="431"/>
      <c r="U21" s="432"/>
    </row>
    <row r="22" spans="1:21" ht="19.5" customHeight="1">
      <c r="A22" s="433" t="s">
        <v>68</v>
      </c>
      <c r="B22" s="434"/>
      <c r="C22" s="434"/>
      <c r="D22" s="434"/>
      <c r="E22" s="434"/>
      <c r="F22" s="434"/>
      <c r="G22" s="434"/>
      <c r="H22" s="434"/>
      <c r="I22" s="57">
        <f>ЗМІСТ!U87</f>
        <v>30</v>
      </c>
      <c r="J22" s="57">
        <f>ЗМІСТ!V87</f>
        <v>30</v>
      </c>
      <c r="K22" s="57">
        <f>ЗМІСТ!W87</f>
        <v>30</v>
      </c>
      <c r="L22" s="57">
        <f>ЗМІСТ!X87</f>
        <v>30</v>
      </c>
      <c r="M22" s="57">
        <f>ЗМІСТ!Y87</f>
        <v>30</v>
      </c>
      <c r="N22" s="57">
        <f>ЗМІСТ!Z87</f>
        <v>30</v>
      </c>
      <c r="O22" s="57">
        <f>ЗМІСТ!AA87</f>
        <v>30</v>
      </c>
      <c r="P22" s="57">
        <f>ЗМІСТ!AB87</f>
        <v>30</v>
      </c>
      <c r="Q22" s="435">
        <f>SUM(I22:P22)</f>
        <v>240</v>
      </c>
      <c r="R22" s="435"/>
      <c r="S22" s="435"/>
      <c r="T22" s="435"/>
      <c r="U22" s="436"/>
    </row>
    <row r="23" spans="1:21" ht="19.5" customHeight="1">
      <c r="A23" s="429" t="s">
        <v>69</v>
      </c>
      <c r="B23" s="430"/>
      <c r="C23" s="430"/>
      <c r="D23" s="430"/>
      <c r="E23" s="430"/>
      <c r="F23" s="430"/>
      <c r="G23" s="430"/>
      <c r="H23" s="430"/>
      <c r="I23" s="6">
        <f>ЗМІСТ!U89</f>
        <v>2</v>
      </c>
      <c r="J23" s="6">
        <f>ЗМІСТ!V89</f>
        <v>2</v>
      </c>
      <c r="K23" s="6">
        <f>ЗМІСТ!W89</f>
        <v>1</v>
      </c>
      <c r="L23" s="6">
        <f>ЗМІСТ!X89</f>
        <v>1</v>
      </c>
      <c r="M23" s="6">
        <f>ЗМІСТ!Y89</f>
        <v>1</v>
      </c>
      <c r="N23" s="6">
        <f>ЗМІСТ!Z89</f>
        <v>1</v>
      </c>
      <c r="O23" s="6">
        <f>ЗМІСТ!AA89</f>
        <v>2</v>
      </c>
      <c r="P23" s="6">
        <f>ЗМІСТ!AB89</f>
        <v>2</v>
      </c>
      <c r="Q23" s="431">
        <f>SUM(I23:P23)</f>
        <v>12</v>
      </c>
      <c r="R23" s="431"/>
      <c r="S23" s="431"/>
      <c r="T23" s="431"/>
      <c r="U23" s="432"/>
    </row>
    <row r="24" spans="1:21" ht="19.5" customHeight="1">
      <c r="A24" s="429" t="s">
        <v>101</v>
      </c>
      <c r="B24" s="430"/>
      <c r="C24" s="430"/>
      <c r="D24" s="430"/>
      <c r="E24" s="430"/>
      <c r="F24" s="430"/>
      <c r="G24" s="430"/>
      <c r="H24" s="430"/>
      <c r="I24" s="6">
        <f>ЗМІСТ!U90</f>
        <v>4</v>
      </c>
      <c r="J24" s="6">
        <f>ЗМІСТ!V90</f>
        <v>5</v>
      </c>
      <c r="K24" s="6">
        <f>ЗМІСТ!W90</f>
        <v>5</v>
      </c>
      <c r="L24" s="6">
        <f>ЗМІСТ!X90</f>
        <v>6</v>
      </c>
      <c r="M24" s="6">
        <f>ЗМІСТ!Y90</f>
        <v>4</v>
      </c>
      <c r="N24" s="6">
        <f>ЗМІСТ!Z90</f>
        <v>6</v>
      </c>
      <c r="O24" s="6">
        <f>ЗМІСТ!AA90</f>
        <v>3</v>
      </c>
      <c r="P24" s="6">
        <f>ЗМІСТ!AB90</f>
        <v>4</v>
      </c>
      <c r="Q24" s="431">
        <f>SUM(I24:P24)</f>
        <v>37</v>
      </c>
      <c r="R24" s="431"/>
      <c r="S24" s="431"/>
      <c r="T24" s="431"/>
      <c r="U24" s="432"/>
    </row>
    <row r="25" spans="1:21" ht="19.5" customHeight="1">
      <c r="A25" s="437" t="s">
        <v>70</v>
      </c>
      <c r="B25" s="438"/>
      <c r="C25" s="438"/>
      <c r="D25" s="438"/>
      <c r="E25" s="438"/>
      <c r="F25" s="438"/>
      <c r="G25" s="438"/>
      <c r="H25" s="439"/>
      <c r="I25" s="58">
        <f>ЗМІСТ!U91</f>
        <v>0</v>
      </c>
      <c r="J25" s="58">
        <f>ЗМІСТ!V91</f>
        <v>0</v>
      </c>
      <c r="K25" s="58">
        <f>ЗМІСТ!W91</f>
        <v>0</v>
      </c>
      <c r="L25" s="58">
        <f>ЗМІСТ!X91</f>
        <v>0</v>
      </c>
      <c r="M25" s="58">
        <f>ЗМІСТ!Y91</f>
        <v>1</v>
      </c>
      <c r="N25" s="58">
        <f>ЗМІСТ!Z91</f>
        <v>0</v>
      </c>
      <c r="O25" s="58">
        <f>ЗМІСТ!AA91</f>
        <v>0</v>
      </c>
      <c r="P25" s="58">
        <f>ЗМІСТ!AB91</f>
        <v>0</v>
      </c>
      <c r="Q25" s="431">
        <f>SUM(I25:P25)</f>
        <v>1</v>
      </c>
      <c r="R25" s="431"/>
      <c r="S25" s="431"/>
      <c r="T25" s="431"/>
      <c r="U25" s="432"/>
    </row>
    <row r="26" spans="1:21" ht="19.5" customHeight="1" thickBot="1">
      <c r="A26" s="440" t="s">
        <v>105</v>
      </c>
      <c r="B26" s="441"/>
      <c r="C26" s="441"/>
      <c r="D26" s="441"/>
      <c r="E26" s="441"/>
      <c r="F26" s="441"/>
      <c r="G26" s="441"/>
      <c r="H26" s="441"/>
      <c r="I26" s="59">
        <f>ЗМІСТ!U92</f>
        <v>0</v>
      </c>
      <c r="J26" s="59">
        <f>ЗМІСТ!V92</f>
        <v>0</v>
      </c>
      <c r="K26" s="59">
        <v>1</v>
      </c>
      <c r="L26" s="59">
        <v>1</v>
      </c>
      <c r="M26" s="59">
        <v>1</v>
      </c>
      <c r="N26" s="59">
        <v>1</v>
      </c>
      <c r="O26" s="59">
        <v>1</v>
      </c>
      <c r="P26" s="59">
        <v>1</v>
      </c>
      <c r="Q26" s="442">
        <f>SUM(I26:P26)</f>
        <v>6</v>
      </c>
      <c r="R26" s="442"/>
      <c r="S26" s="442"/>
      <c r="T26" s="442"/>
      <c r="U26" s="443"/>
    </row>
    <row r="27" spans="1:21" ht="1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ht="1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s="54" customFormat="1" ht="52.5" customHeight="1">
      <c r="A29" s="427" t="s">
        <v>277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</row>
    <row r="30" spans="1:21" s="60" customFormat="1" ht="18.75">
      <c r="A30" s="93"/>
      <c r="B30" s="94"/>
      <c r="C30" s="95"/>
      <c r="D30" s="96"/>
      <c r="E30" s="97"/>
      <c r="F30" s="97"/>
      <c r="G30" s="97"/>
      <c r="H30" s="98"/>
      <c r="I30" s="99"/>
      <c r="J30" s="99"/>
      <c r="K30" s="97"/>
      <c r="L30" s="97"/>
      <c r="M30" s="97"/>
      <c r="N30" s="97"/>
      <c r="O30" s="97"/>
      <c r="P30" s="97"/>
      <c r="Q30" s="99"/>
      <c r="R30" s="99"/>
      <c r="S30" s="99"/>
      <c r="T30" s="99"/>
      <c r="U30" s="99"/>
    </row>
    <row r="31" spans="1:21" s="61" customFormat="1" ht="18.75">
      <c r="A31" s="100" t="s">
        <v>272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428" t="s">
        <v>71</v>
      </c>
      <c r="N31" s="428"/>
      <c r="O31" s="428"/>
      <c r="P31" s="428"/>
      <c r="Q31" s="428"/>
      <c r="R31" s="428"/>
      <c r="S31" s="428"/>
      <c r="T31" s="428"/>
      <c r="U31" s="428"/>
    </row>
    <row r="32" spans="1:21" s="61" customFormat="1" ht="24.75" customHeight="1">
      <c r="A32" s="102" t="s">
        <v>138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428" t="s">
        <v>111</v>
      </c>
      <c r="N32" s="428"/>
      <c r="O32" s="428"/>
      <c r="P32" s="428"/>
      <c r="Q32" s="428"/>
      <c r="R32" s="428"/>
      <c r="S32" s="428"/>
      <c r="T32" s="428"/>
      <c r="U32" s="428"/>
    </row>
    <row r="33" spans="1:21" s="62" customFormat="1" ht="19.5" customHeight="1">
      <c r="A33" s="102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s="61" customFormat="1" ht="19.5" customHeight="1">
      <c r="A34" s="103" t="s">
        <v>102</v>
      </c>
      <c r="B34" s="103"/>
      <c r="C34" s="103"/>
      <c r="D34" s="103"/>
      <c r="E34" s="104"/>
      <c r="F34" s="105"/>
      <c r="G34" s="105"/>
      <c r="H34" s="106"/>
      <c r="I34" s="106"/>
      <c r="J34" s="106"/>
      <c r="K34" s="106"/>
      <c r="L34" s="106"/>
      <c r="M34" s="428" t="s">
        <v>103</v>
      </c>
      <c r="N34" s="428"/>
      <c r="O34" s="428"/>
      <c r="P34" s="428"/>
      <c r="Q34" s="428"/>
      <c r="R34" s="428"/>
      <c r="S34" s="428"/>
      <c r="T34" s="428"/>
      <c r="U34" s="428"/>
    </row>
    <row r="35" spans="1:21" s="63" customFormat="1" ht="24.75" customHeight="1">
      <c r="A35" s="101"/>
      <c r="B35" s="101"/>
      <c r="C35" s="107"/>
      <c r="D35" s="107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1:21" s="63" customFormat="1" ht="40.5" customHeight="1">
      <c r="A36" s="108" t="s">
        <v>157</v>
      </c>
      <c r="B36" s="108"/>
      <c r="C36" s="108"/>
      <c r="D36" s="108"/>
      <c r="E36" s="109"/>
      <c r="F36" s="105"/>
      <c r="G36" s="105"/>
      <c r="H36" s="108" t="s">
        <v>247</v>
      </c>
      <c r="I36" s="106"/>
      <c r="J36" s="106"/>
      <c r="K36" s="106"/>
      <c r="L36" s="456" t="s">
        <v>279</v>
      </c>
      <c r="M36" s="456"/>
      <c r="N36" s="456"/>
      <c r="O36" s="456"/>
      <c r="P36" s="456"/>
      <c r="Q36" s="456"/>
      <c r="R36" s="457" t="s">
        <v>278</v>
      </c>
      <c r="S36" s="457"/>
      <c r="T36" s="457"/>
      <c r="U36" s="457"/>
    </row>
    <row r="37" spans="1:21" ht="12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</row>
  </sheetData>
  <sheetProtection/>
  <mergeCells count="47">
    <mergeCell ref="L36:Q36"/>
    <mergeCell ref="R36:U36"/>
    <mergeCell ref="B12:G12"/>
    <mergeCell ref="A3:C3"/>
    <mergeCell ref="A4:A6"/>
    <mergeCell ref="B4:G6"/>
    <mergeCell ref="H4:H6"/>
    <mergeCell ref="I4:K4"/>
    <mergeCell ref="I5:I6"/>
    <mergeCell ref="J5:K6"/>
    <mergeCell ref="B7:G7"/>
    <mergeCell ref="J7:K7"/>
    <mergeCell ref="B11:G11"/>
    <mergeCell ref="J11:K11"/>
    <mergeCell ref="A16:D16"/>
    <mergeCell ref="A17:H17"/>
    <mergeCell ref="B8:G8"/>
    <mergeCell ref="J8:K8"/>
    <mergeCell ref="B9:G9"/>
    <mergeCell ref="J9:K9"/>
    <mergeCell ref="B10:G10"/>
    <mergeCell ref="Q23:U23"/>
    <mergeCell ref="Q17:U17"/>
    <mergeCell ref="A18:H18"/>
    <mergeCell ref="Q18:U18"/>
    <mergeCell ref="A20:H20"/>
    <mergeCell ref="Q20:U20"/>
    <mergeCell ref="A19:H19"/>
    <mergeCell ref="Q19:U19"/>
    <mergeCell ref="J10:K10"/>
    <mergeCell ref="M32:U32"/>
    <mergeCell ref="M34:U34"/>
    <mergeCell ref="A24:H24"/>
    <mergeCell ref="Q24:U24"/>
    <mergeCell ref="A25:H25"/>
    <mergeCell ref="Q25:U25"/>
    <mergeCell ref="A26:H26"/>
    <mergeCell ref="Q26:U26"/>
    <mergeCell ref="B13:G13"/>
    <mergeCell ref="J13:K13"/>
    <mergeCell ref="A29:U29"/>
    <mergeCell ref="M31:U31"/>
    <mergeCell ref="A21:H21"/>
    <mergeCell ref="Q21:U21"/>
    <mergeCell ref="A22:H22"/>
    <mergeCell ref="Q22:U22"/>
    <mergeCell ref="A23:H23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1.75390625" style="14" customWidth="1"/>
    <col min="2" max="16384" width="8.875" style="14" customWidth="1"/>
  </cols>
  <sheetData>
    <row r="2" spans="1:9" ht="15.75">
      <c r="A2" s="466" t="s">
        <v>147</v>
      </c>
      <c r="B2" s="466"/>
      <c r="C2" s="466"/>
      <c r="D2" s="466"/>
      <c r="E2" s="466"/>
      <c r="F2" s="466"/>
      <c r="G2" s="466"/>
      <c r="H2" s="466"/>
      <c r="I2" s="466"/>
    </row>
    <row r="3" spans="1:9" ht="15.75">
      <c r="A3" s="66" t="s">
        <v>52</v>
      </c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  <c r="I3" s="67">
        <v>8</v>
      </c>
    </row>
    <row r="4" spans="1:9" ht="15.75">
      <c r="A4" s="66" t="s">
        <v>104</v>
      </c>
      <c r="B4" s="67">
        <f>COUNTA(ЗМІСТ!U11:U19,ЗМІСТ!U23:U43,ЗМІСТ!U51:U57,ЗМІСТ!U68:U73,ЗМІСТ!U77:U82)</f>
        <v>8</v>
      </c>
      <c r="C4" s="67">
        <f>COUNTA(ЗМІСТ!V11:V19,ЗМІСТ!V23:V43,ЗМІСТ!V51:V57,ЗМІСТ!V68:V73,ЗМІСТ!V77:V82)</f>
        <v>8</v>
      </c>
      <c r="D4" s="67">
        <f>COUNTA(ЗМІСТ!W11:W19,ЗМІСТ!W23:W43,ЗМІСТ!W51:W57,ЗМІСТ!W68:W73,ЗМІСТ!W77:W82)</f>
        <v>9</v>
      </c>
      <c r="E4" s="67">
        <f>COUNTA(ЗМІСТ!X11:X19,ЗМІСТ!X23:X43,ЗМІСТ!X51:X57,ЗМІСТ!X68:X73,ЗМІСТ!X77:X82)</f>
        <v>8</v>
      </c>
      <c r="F4" s="67">
        <f>COUNTA(ЗМІСТ!Y11:Y19,ЗМІСТ!Y23:Y43,ЗМІСТ!Y51:Y57,ЗМІСТ!Y68:Y73,ЗМІСТ!Y77:Y82)</f>
        <v>7</v>
      </c>
      <c r="G4" s="67">
        <f>COUNTA(ЗМІСТ!Z11:Z19,ЗМІСТ!Z23:Z43,ЗМІСТ!Z51:Z57,ЗМІСТ!Z68:Z73,ЗМІСТ!Z77:Z82)</f>
        <v>8</v>
      </c>
      <c r="H4" s="67">
        <f>COUNTA(ЗМІСТ!AA11:AA19,ЗМІСТ!AA23:AA43,ЗМІСТ!AA51:AA57,ЗМІСТ!AA68:AA73,ЗМІСТ!AA77:AA82)</f>
        <v>7</v>
      </c>
      <c r="I4" s="67">
        <f>COUNTA(ЗМІСТ!AB11:AB19,ЗМІСТ!AB23:AB43,ЗМІСТ!AB51:AB57,ЗМІСТ!AB68:AB73,ЗМІСТ!AB77:AB82)</f>
        <v>5</v>
      </c>
    </row>
  </sheetData>
  <sheetProtection/>
  <mergeCells count="1">
    <mergeCell ref="A2:I2"/>
  </mergeCells>
  <conditionalFormatting sqref="B4:I4">
    <cfRule type="cellIs" priority="1" dxfId="45" operator="lessThanOrEqual" stopIfTrue="1">
      <formula>8</formula>
    </cfRule>
    <cfRule type="cellIs" priority="2" dxfId="44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60" workbookViewId="0" topLeftCell="A1">
      <selection activeCell="L55" sqref="L55"/>
    </sheetView>
  </sheetViews>
  <sheetFormatPr defaultColWidth="9.00390625" defaultRowHeight="12.75"/>
  <sheetData/>
  <sheetProtection/>
  <printOptions/>
  <pageMargins left="0.7" right="0.7" top="0.75" bottom="0.75" header="0.3" footer="0.3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Кафедра_105</cp:lastModifiedBy>
  <cp:lastPrinted>2021-10-25T09:11:47Z</cp:lastPrinted>
  <dcterms:created xsi:type="dcterms:W3CDTF">2003-11-28T18:06:16Z</dcterms:created>
  <dcterms:modified xsi:type="dcterms:W3CDTF">2023-09-07T11:40:29Z</dcterms:modified>
  <cp:category/>
  <cp:version/>
  <cp:contentType/>
  <cp:contentStatus/>
</cp:coreProperties>
</file>